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111462\Desktop\"/>
    </mc:Choice>
  </mc:AlternateContent>
  <xr:revisionPtr revIDLastSave="0" documentId="8_{C42689BF-0C55-4DCE-8408-C0430B68965B}" xr6:coauthVersionLast="33" xr6:coauthVersionMax="33" xr10:uidLastSave="{00000000-0000-0000-0000-000000000000}"/>
  <bookViews>
    <workbookView xWindow="0" yWindow="0" windowWidth="16170" windowHeight="5955" xr2:uid="{00000000-000D-0000-FFFF-FFFF00000000}"/>
  </bookViews>
  <sheets>
    <sheet name="Sheet1" sheetId="1" r:id="rId1"/>
  </sheets>
  <definedNames>
    <definedName name="_xlnm.Print_Area" localSheetId="0">Sheet1!$A$1:$I$75</definedName>
    <definedName name="_xlnm.Print_Titles" localSheetId="0">Sheet1!$1:$4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I24" i="1"/>
  <c r="I20" i="1"/>
  <c r="I17" i="1"/>
  <c r="F34" i="1" l="1"/>
  <c r="I37" i="1" l="1"/>
  <c r="F37" i="1"/>
  <c r="I12" i="1" l="1"/>
  <c r="I57" i="1"/>
  <c r="I15" i="1"/>
  <c r="I14" i="1"/>
  <c r="I13" i="1"/>
  <c r="I18" i="1"/>
  <c r="I58" i="1"/>
  <c r="I48" i="1"/>
  <c r="I19" i="1"/>
  <c r="I51" i="1"/>
  <c r="I47" i="1"/>
  <c r="I35" i="1"/>
  <c r="I50" i="1"/>
  <c r="I29" i="1"/>
  <c r="I23" i="1"/>
  <c r="I64" i="1"/>
  <c r="I45" i="1"/>
  <c r="I44" i="1"/>
  <c r="I32" i="1"/>
  <c r="I30" i="1"/>
  <c r="I59" i="1"/>
  <c r="I53" i="1"/>
  <c r="I49" i="1"/>
  <c r="I40" i="1"/>
  <c r="I28" i="1"/>
  <c r="I27" i="1"/>
  <c r="I26" i="1"/>
  <c r="I25" i="1"/>
  <c r="I61" i="1"/>
  <c r="I60" i="1"/>
  <c r="I63" i="1"/>
  <c r="I7" i="1"/>
  <c r="I6" i="1"/>
  <c r="I5" i="1"/>
  <c r="I9" i="1"/>
  <c r="I56" i="1"/>
  <c r="I55" i="1"/>
  <c r="I41" i="1"/>
  <c r="I31" i="1"/>
  <c r="I36" i="1"/>
  <c r="I33" i="1"/>
  <c r="I52" i="1"/>
  <c r="I16" i="1"/>
  <c r="I11" i="1"/>
  <c r="I10" i="1"/>
  <c r="I8" i="1"/>
  <c r="I21" i="1"/>
  <c r="I54" i="1"/>
  <c r="I62" i="1"/>
  <c r="I46" i="1"/>
  <c r="I42" i="1"/>
  <c r="I22" i="1"/>
  <c r="I39" i="1"/>
  <c r="I34" i="1"/>
  <c r="I38" i="1"/>
  <c r="F12" i="1"/>
  <c r="F57" i="1"/>
  <c r="F15" i="1"/>
  <c r="F14" i="1"/>
  <c r="F13" i="1"/>
  <c r="F18" i="1"/>
  <c r="F58" i="1"/>
  <c r="F48" i="1"/>
  <c r="F19" i="1"/>
  <c r="F51" i="1"/>
  <c r="F47" i="1"/>
  <c r="F35" i="1"/>
  <c r="F50" i="1"/>
  <c r="F29" i="1"/>
  <c r="F23" i="1"/>
  <c r="F64" i="1"/>
  <c r="F45" i="1"/>
  <c r="F43" i="1"/>
  <c r="F44" i="1"/>
  <c r="F32" i="1"/>
  <c r="F30" i="1"/>
  <c r="F17" i="1"/>
  <c r="F59" i="1"/>
  <c r="F53" i="1"/>
  <c r="F49" i="1"/>
  <c r="F40" i="1"/>
  <c r="F28" i="1"/>
  <c r="F26" i="1"/>
  <c r="F25" i="1"/>
  <c r="F24" i="1"/>
  <c r="F20" i="1"/>
  <c r="F61" i="1"/>
  <c r="F60" i="1"/>
  <c r="F63" i="1"/>
  <c r="F7" i="1"/>
  <c r="F6" i="1"/>
  <c r="F5" i="1"/>
  <c r="F9" i="1"/>
  <c r="F56" i="1"/>
  <c r="F55" i="1"/>
  <c r="F41" i="1"/>
  <c r="F31" i="1"/>
  <c r="F36" i="1"/>
  <c r="F33" i="1"/>
  <c r="F52" i="1"/>
  <c r="F16" i="1"/>
  <c r="F11" i="1"/>
  <c r="F10" i="1"/>
  <c r="F8" i="1"/>
  <c r="F21" i="1"/>
  <c r="F54" i="1"/>
  <c r="F62" i="1"/>
  <c r="F46" i="1"/>
  <c r="F42" i="1"/>
  <c r="F22" i="1"/>
  <c r="F39" i="1"/>
  <c r="F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Cooper</author>
  </authors>
  <commentList>
    <comment ref="K1" authorId="0" shapeId="0" xr:uid="{00000000-0006-0000-0000-000001000000}">
      <text>
        <r>
          <rPr>
            <sz val="9"/>
            <color indexed="81"/>
            <rFont val="Tahoma"/>
            <family val="2"/>
          </rPr>
          <t>** 7.6, 8.6, 5.1 g/d used for trophic levels</t>
        </r>
      </text>
    </comment>
  </commentList>
</comments>
</file>

<file path=xl/sharedStrings.xml><?xml version="1.0" encoding="utf-8"?>
<sst xmlns="http://schemas.openxmlformats.org/spreadsheetml/2006/main" count="360" uniqueCount="228">
  <si>
    <t>Cyanide</t>
  </si>
  <si>
    <t>DDT</t>
  </si>
  <si>
    <t>Aldrin</t>
  </si>
  <si>
    <t>Dieldrin</t>
  </si>
  <si>
    <t>Endrin</t>
  </si>
  <si>
    <t>Toxaphene</t>
  </si>
  <si>
    <t>Methoxychlor</t>
  </si>
  <si>
    <t>Acrylonitrile</t>
  </si>
  <si>
    <t>1,2-dichlorobenzene</t>
  </si>
  <si>
    <t>1,3-dichlorobenzene</t>
  </si>
  <si>
    <t>1,4-dichlorobenzene</t>
  </si>
  <si>
    <t>2,4-dinitrotoluene</t>
  </si>
  <si>
    <t>Hexachlorobenzene</t>
  </si>
  <si>
    <t>Carbon tetrachloride</t>
  </si>
  <si>
    <t>Chloroform</t>
  </si>
  <si>
    <t>Bromoform</t>
  </si>
  <si>
    <t>Dichlorobromomethane</t>
  </si>
  <si>
    <t>Methyl Bromide</t>
  </si>
  <si>
    <t>Methylene Chloride</t>
  </si>
  <si>
    <t>1,2-dichloroethane</t>
  </si>
  <si>
    <t>1,1,1-trichloroethane</t>
  </si>
  <si>
    <t>1,1,2,2-tetrachloroethane</t>
  </si>
  <si>
    <t>1,1-dichloroethylene</t>
  </si>
  <si>
    <t>Trichloroethylene</t>
  </si>
  <si>
    <t>Tetrachloroethylene</t>
  </si>
  <si>
    <t>Toluene</t>
  </si>
  <si>
    <t>Acenaphthene</t>
  </si>
  <si>
    <t>Anthracene</t>
  </si>
  <si>
    <t>Benzo(a) Anthracene</t>
  </si>
  <si>
    <t>Benzo(a) Pyrene</t>
  </si>
  <si>
    <t>Benzo(b) Fluoranthene</t>
  </si>
  <si>
    <t>Chrysene</t>
  </si>
  <si>
    <t>Dibenzo(a,h) Anthracene</t>
  </si>
  <si>
    <t>Fluorene</t>
  </si>
  <si>
    <t>Indeno(1,2,3-cd)Pyrene</t>
  </si>
  <si>
    <t>Pyrene</t>
  </si>
  <si>
    <t>2-Chloronaphthalene</t>
  </si>
  <si>
    <t>Bis(2-Ethylhexyl) Phthalate</t>
  </si>
  <si>
    <t>Diethyl Phthalate</t>
  </si>
  <si>
    <t>Diemethyl Phthalate</t>
  </si>
  <si>
    <t>Di-n-Butyl Phthalate</t>
  </si>
  <si>
    <t>alpha-BHC (alpha-Hexachlorocyclohexane)</t>
  </si>
  <si>
    <t>beta-BHC (beta- Hexachlorocyclohexane)</t>
  </si>
  <si>
    <t>gamma-BHC</t>
  </si>
  <si>
    <t>Chlorobenzene</t>
  </si>
  <si>
    <t>Heptachlor</t>
  </si>
  <si>
    <t>2-methyl-4-6-dinitrophenol</t>
  </si>
  <si>
    <t>Fluoranthene</t>
  </si>
  <si>
    <t>Phenol</t>
  </si>
  <si>
    <t>2-Chlorophenol</t>
  </si>
  <si>
    <t>2,4-Dichlorophenol</t>
  </si>
  <si>
    <t>2,4-Dimethylphenol</t>
  </si>
  <si>
    <t>2,4-Dinitrophenol</t>
  </si>
  <si>
    <t>Pentachlorophenol</t>
  </si>
  <si>
    <t>2,4,6-Trichlorophenol</t>
  </si>
  <si>
    <t>7.0</t>
  </si>
  <si>
    <t>1.7</t>
  </si>
  <si>
    <t>3.00</t>
  </si>
  <si>
    <t>100</t>
  </si>
  <si>
    <t>7.00</t>
  </si>
  <si>
    <t>1.00</t>
  </si>
  <si>
    <t>0.010</t>
  </si>
  <si>
    <t>0.007</t>
  </si>
  <si>
    <t>0.900</t>
  </si>
  <si>
    <t>0.300</t>
  </si>
  <si>
    <t>0.049</t>
  </si>
  <si>
    <t>0.079</t>
  </si>
  <si>
    <t>0.012</t>
  </si>
  <si>
    <t>5</t>
  </si>
  <si>
    <t>7</t>
  </si>
  <si>
    <t>3</t>
  </si>
  <si>
    <t>2</t>
  </si>
  <si>
    <t>0.4</t>
  </si>
  <si>
    <t>0.6</t>
  </si>
  <si>
    <t>0.2</t>
  </si>
  <si>
    <t>2000</t>
  </si>
  <si>
    <t>60</t>
  </si>
  <si>
    <t>120</t>
  </si>
  <si>
    <t>27</t>
  </si>
  <si>
    <t>20</t>
  </si>
  <si>
    <t>0.95</t>
  </si>
  <si>
    <t>10000</t>
  </si>
  <si>
    <t>1000</t>
  </si>
  <si>
    <t>650</t>
  </si>
  <si>
    <t>9.9</t>
  </si>
  <si>
    <t>0.00012</t>
  </si>
  <si>
    <t>0.00036</t>
  </si>
  <si>
    <t>200</t>
  </si>
  <si>
    <t>29</t>
  </si>
  <si>
    <t>10</t>
  </si>
  <si>
    <t>20000</t>
  </si>
  <si>
    <t>300</t>
  </si>
  <si>
    <t>70</t>
  </si>
  <si>
    <t>0.520</t>
  </si>
  <si>
    <t>0.057</t>
  </si>
  <si>
    <t>90</t>
  </si>
  <si>
    <t>400</t>
  </si>
  <si>
    <t>0.0013</t>
  </si>
  <si>
    <t>0.0012</t>
  </si>
  <si>
    <t>0.00013</t>
  </si>
  <si>
    <t>0.013</t>
  </si>
  <si>
    <t>0.014</t>
  </si>
  <si>
    <t>0.13</t>
  </si>
  <si>
    <t>0.32</t>
  </si>
  <si>
    <t>0.12</t>
  </si>
  <si>
    <t>0.10</t>
  </si>
  <si>
    <t>0.03</t>
  </si>
  <si>
    <t>50</t>
  </si>
  <si>
    <t>30</t>
  </si>
  <si>
    <t>800</t>
  </si>
  <si>
    <t>0.37</t>
  </si>
  <si>
    <t>600</t>
  </si>
  <si>
    <t>1.6</t>
  </si>
  <si>
    <t>4.4</t>
  </si>
  <si>
    <t>2.8</t>
  </si>
  <si>
    <t>0.022</t>
  </si>
  <si>
    <t>0.00039</t>
  </si>
  <si>
    <t>0.0080</t>
  </si>
  <si>
    <t>4.2</t>
  </si>
  <si>
    <t>0.130</t>
  </si>
  <si>
    <t>0.068</t>
  </si>
  <si>
    <t>0.0059</t>
  </si>
  <si>
    <t>300000</t>
  </si>
  <si>
    <t>4000</t>
  </si>
  <si>
    <t>3000</t>
  </si>
  <si>
    <t>0.04</t>
  </si>
  <si>
    <t>1.5</t>
  </si>
  <si>
    <t>Category C</t>
  </si>
  <si>
    <t>Category A</t>
  </si>
  <si>
    <t>Units</t>
  </si>
  <si>
    <t>µg/l</t>
  </si>
  <si>
    <t>ng/l</t>
  </si>
  <si>
    <t>mg/l</t>
  </si>
  <si>
    <t>Chlordane</t>
  </si>
  <si>
    <t>Benzo(k) Fluoranthene</t>
  </si>
  <si>
    <t>Butylbenzyl Phthalate</t>
  </si>
  <si>
    <t>Vinyl chloride</t>
  </si>
  <si>
    <t>Ethylbenzene</t>
  </si>
  <si>
    <t xml:space="preserve">Pollutant </t>
  </si>
  <si>
    <t>EPA recommendation (unrounded)</t>
  </si>
  <si>
    <t>0.323</t>
  </si>
  <si>
    <t>0.31</t>
  </si>
  <si>
    <t>0.8</t>
  </si>
  <si>
    <t>0.1</t>
  </si>
  <si>
    <t>5.0</t>
  </si>
  <si>
    <t>0.46</t>
  </si>
  <si>
    <t>0.55</t>
  </si>
  <si>
    <t>0.024</t>
  </si>
  <si>
    <t>0.071</t>
  </si>
  <si>
    <t>0.018</t>
  </si>
  <si>
    <t>2.3</t>
  </si>
  <si>
    <t>0.73</t>
  </si>
  <si>
    <t>0.66</t>
  </si>
  <si>
    <t>0.77</t>
  </si>
  <si>
    <t>0.059</t>
  </si>
  <si>
    <t>17</t>
  </si>
  <si>
    <t>2.7</t>
  </si>
  <si>
    <t>2.6</t>
  </si>
  <si>
    <t>9.1</t>
  </si>
  <si>
    <t>0.11</t>
  </si>
  <si>
    <t>0.72</t>
  </si>
  <si>
    <t>0.25</t>
  </si>
  <si>
    <t>470</t>
  </si>
  <si>
    <t>5.7</t>
  </si>
  <si>
    <t>140</t>
  </si>
  <si>
    <t>14000</t>
  </si>
  <si>
    <t>1600</t>
  </si>
  <si>
    <t>4.3</t>
  </si>
  <si>
    <t>1500</t>
  </si>
  <si>
    <t>47</t>
  </si>
  <si>
    <t>590</t>
  </si>
  <si>
    <t>4.6</t>
  </si>
  <si>
    <t>99</t>
  </si>
  <si>
    <t>0.035</t>
  </si>
  <si>
    <t>12</t>
  </si>
  <si>
    <t>11</t>
  </si>
  <si>
    <t>0.17</t>
  </si>
  <si>
    <t>3.2</t>
  </si>
  <si>
    <t>81</t>
  </si>
  <si>
    <t>8.85</t>
  </si>
  <si>
    <t>6.8</t>
  </si>
  <si>
    <t>990</t>
  </si>
  <si>
    <t>670</t>
  </si>
  <si>
    <t>40000</t>
  </si>
  <si>
    <t>8300</t>
  </si>
  <si>
    <t>0.0038</t>
  </si>
  <si>
    <t>5300</t>
  </si>
  <si>
    <t>1100</t>
  </si>
  <si>
    <t>830</t>
  </si>
  <si>
    <t>525</t>
  </si>
  <si>
    <t>2.0</t>
  </si>
  <si>
    <t>0.0039</t>
  </si>
  <si>
    <t>0.046</t>
  </si>
  <si>
    <t>0.063</t>
  </si>
  <si>
    <t>0.019</t>
  </si>
  <si>
    <t>21</t>
  </si>
  <si>
    <t>0.68</t>
  </si>
  <si>
    <t>3.1</t>
  </si>
  <si>
    <t>0.21</t>
  </si>
  <si>
    <t>765</t>
  </si>
  <si>
    <t>13.4</t>
  </si>
  <si>
    <t>370</t>
  </si>
  <si>
    <t>4600000</t>
  </si>
  <si>
    <t>21000</t>
  </si>
  <si>
    <t>790</t>
  </si>
  <si>
    <t>93</t>
  </si>
  <si>
    <t>2300</t>
  </si>
  <si>
    <t>540</t>
  </si>
  <si>
    <t>8.2</t>
  </si>
  <si>
    <t>0.28</t>
  </si>
  <si>
    <t>6.5</t>
  </si>
  <si>
    <t>2.1</t>
  </si>
  <si>
    <t>TL 3: 50% bass, panfish, 50% trout, 50% catfish</t>
  </si>
  <si>
    <t>TL 4: 50% bass, sauger, 50% trout, 50% catfish</t>
  </si>
  <si>
    <t xml:space="preserve">equation for Category A: </t>
  </si>
  <si>
    <t>TL2: tilapia</t>
  </si>
  <si>
    <t>TL2 = 2.9 g/day</t>
  </si>
  <si>
    <t>TL3 = 3.3 g/day</t>
  </si>
  <si>
    <t>TL4 = 3.7 g/day</t>
  </si>
  <si>
    <t xml:space="preserve">equation for Category C: </t>
  </si>
  <si>
    <t>(Ref Dose or slope factor mg/kg x Relative Source Contribution x Bodyweight kg x 1000 ug/mg) /</t>
  </si>
  <si>
    <t xml:space="preserve">(Ref Dose  or slope factor mg/kg x Relative Source Contribution x Bodyweight kg x 1000 ug/mg) / </t>
  </si>
  <si>
    <t>Drinking Water Intake L/day + (Fish Consumption Rate kg/day x BAF TL2 L/kg)+ (FCR kg/day x BAF TL3 L/kg)+ (FCR kg/day x BAF TL4 L/kg))</t>
  </si>
  <si>
    <t>(Fish Consumption Rate kg/day x Bioaccumulation Factor TL2 L/kg)+ (FCR kg/day x BAF TL3 L/kg)+ (FCR kg/day x BAF TL4 L/kg))</t>
  </si>
  <si>
    <t>WV Fish Consumption by Trophic Level</t>
  </si>
  <si>
    <t>EPA Recom. Criteria</t>
  </si>
  <si>
    <t>WV Current</t>
  </si>
  <si>
    <t>WV Proposed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</si>
</sst>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0"/>
    <numFmt numFmtId="167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0" fillId="0" borderId="3" xfId="0" applyBorder="1"/>
    <xf numFmtId="49" fontId="0" fillId="3" borderId="3" xfId="0" applyNumberFormat="1" applyFill="1" applyBorder="1" applyAlignment="1">
      <alignment horizontal="right"/>
    </xf>
    <xf numFmtId="1" fontId="0" fillId="4" borderId="3" xfId="0" applyNumberFormat="1" applyFill="1" applyBorder="1" applyAlignment="1">
      <alignment horizontal="right"/>
    </xf>
    <xf numFmtId="164" fontId="0" fillId="4" borderId="3" xfId="0" applyNumberFormat="1" applyFont="1" applyFill="1" applyBorder="1" applyAlignment="1">
      <alignment horizontal="right"/>
    </xf>
    <xf numFmtId="2" fontId="0" fillId="4" borderId="3" xfId="0" applyNumberFormat="1" applyFont="1" applyFill="1" applyBorder="1" applyAlignment="1">
      <alignment horizontal="right"/>
    </xf>
    <xf numFmtId="167" fontId="0" fillId="4" borderId="3" xfId="0" applyNumberFormat="1" applyFont="1" applyFill="1" applyBorder="1" applyAlignment="1">
      <alignment horizontal="right"/>
    </xf>
    <xf numFmtId="1" fontId="0" fillId="4" borderId="3" xfId="0" applyNumberFormat="1" applyFont="1" applyFill="1" applyBorder="1" applyAlignment="1">
      <alignment horizontal="right"/>
    </xf>
    <xf numFmtId="165" fontId="0" fillId="4" borderId="3" xfId="0" applyNumberFormat="1" applyFont="1" applyFill="1" applyBorder="1" applyAlignment="1">
      <alignment horizontal="right"/>
    </xf>
    <xf numFmtId="166" fontId="0" fillId="4" borderId="3" xfId="0" applyNumberFormat="1" applyFont="1" applyFill="1" applyBorder="1" applyAlignment="1">
      <alignment horizontal="right"/>
    </xf>
    <xf numFmtId="0" fontId="2" fillId="0" borderId="4" xfId="0" applyFont="1" applyBorder="1"/>
    <xf numFmtId="0" fontId="0" fillId="0" borderId="4" xfId="0" applyBorder="1"/>
    <xf numFmtId="0" fontId="1" fillId="0" borderId="5" xfId="0" applyFont="1" applyFill="1" applyBorder="1" applyAlignment="1">
      <alignment horizontal="center"/>
    </xf>
    <xf numFmtId="49" fontId="0" fillId="3" borderId="6" xfId="0" applyNumberFormat="1" applyFill="1" applyBorder="1" applyAlignment="1">
      <alignment horizontal="right"/>
    </xf>
    <xf numFmtId="1" fontId="0" fillId="4" borderId="7" xfId="0" applyNumberFormat="1" applyFill="1" applyBorder="1" applyAlignment="1">
      <alignment horizontal="right"/>
    </xf>
    <xf numFmtId="164" fontId="0" fillId="4" borderId="7" xfId="0" applyNumberFormat="1" applyFont="1" applyFill="1" applyBorder="1" applyAlignment="1">
      <alignment horizontal="right"/>
    </xf>
    <xf numFmtId="2" fontId="0" fillId="4" borderId="7" xfId="0" applyNumberFormat="1" applyFont="1" applyFill="1" applyBorder="1" applyAlignment="1">
      <alignment horizontal="right"/>
    </xf>
    <xf numFmtId="167" fontId="0" fillId="4" borderId="7" xfId="0" applyNumberFormat="1" applyFont="1" applyFill="1" applyBorder="1" applyAlignment="1">
      <alignment horizontal="right"/>
    </xf>
    <xf numFmtId="1" fontId="0" fillId="4" borderId="7" xfId="0" applyNumberFormat="1" applyFont="1" applyFill="1" applyBorder="1" applyAlignment="1">
      <alignment horizontal="right"/>
    </xf>
    <xf numFmtId="165" fontId="0" fillId="4" borderId="7" xfId="0" applyNumberFormat="1" applyFont="1" applyFill="1" applyBorder="1" applyAlignment="1">
      <alignment horizontal="right"/>
    </xf>
    <xf numFmtId="166" fontId="0" fillId="4" borderId="7" xfId="0" applyNumberFormat="1" applyFont="1" applyFill="1" applyBorder="1" applyAlignment="1">
      <alignment horizontal="right"/>
    </xf>
    <xf numFmtId="49" fontId="0" fillId="3" borderId="8" xfId="0" applyNumberFormat="1" applyFill="1" applyBorder="1" applyAlignment="1">
      <alignment horizontal="right"/>
    </xf>
    <xf numFmtId="49" fontId="0" fillId="3" borderId="9" xfId="0" applyNumberFormat="1" applyFill="1" applyBorder="1" applyAlignment="1">
      <alignment horizontal="right"/>
    </xf>
    <xf numFmtId="165" fontId="0" fillId="4" borderId="10" xfId="0" applyNumberFormat="1" applyFont="1" applyFill="1" applyBorder="1" applyAlignment="1">
      <alignment horizontal="right"/>
    </xf>
    <xf numFmtId="49" fontId="0" fillId="2" borderId="0" xfId="0" applyNumberFormat="1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2" xfId="0" applyBorder="1"/>
    <xf numFmtId="0" fontId="0" fillId="0" borderId="11" xfId="0" applyBorder="1"/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0" borderId="0" xfId="0" applyFill="1" applyBorder="1"/>
    <xf numFmtId="0" fontId="1" fillId="0" borderId="0" xfId="0" applyFont="1" applyFill="1"/>
    <xf numFmtId="49" fontId="0" fillId="4" borderId="0" xfId="0" applyNumberFormat="1" applyFill="1" applyBorder="1" applyAlignment="1">
      <alignment horizontal="left"/>
    </xf>
    <xf numFmtId="0" fontId="0" fillId="4" borderId="0" xfId="0" applyFill="1"/>
    <xf numFmtId="0" fontId="1" fillId="0" borderId="11" xfId="0" applyFont="1" applyFill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3" borderId="6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right"/>
    </xf>
    <xf numFmtId="0" fontId="5" fillId="0" borderId="14" xfId="0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1" fillId="0" borderId="16" xfId="0" applyFont="1" applyBorder="1"/>
    <xf numFmtId="0" fontId="1" fillId="0" borderId="17" xfId="0" applyFont="1" applyBorder="1"/>
    <xf numFmtId="0" fontId="1" fillId="0" borderId="17" xfId="0" applyFont="1" applyFill="1" applyBorder="1" applyAlignment="1">
      <alignment horizontal="center"/>
    </xf>
    <xf numFmtId="0" fontId="1" fillId="0" borderId="17" xfId="0" applyFont="1" applyBorder="1" applyAlignment="1"/>
    <xf numFmtId="0" fontId="1" fillId="0" borderId="18" xfId="0" applyFont="1" applyFill="1" applyBorder="1" applyAlignment="1">
      <alignment horizontal="center"/>
    </xf>
    <xf numFmtId="0" fontId="1" fillId="0" borderId="16" xfId="0" applyFont="1" applyBorder="1" applyAlignment="1"/>
    <xf numFmtId="164" fontId="0" fillId="4" borderId="9" xfId="0" applyNumberFormat="1" applyFont="1" applyFill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75"/>
  <sheetViews>
    <sheetView tabSelected="1" zoomScale="120" zoomScaleNormal="120" workbookViewId="0">
      <pane xSplit="3" ySplit="4" topLeftCell="D5" activePane="bottomRight" state="frozen"/>
      <selection pane="topRight" activeCell="C1" sqref="C1"/>
      <selection pane="bottomLeft" activeCell="A3" sqref="A3"/>
      <selection pane="bottomRight" activeCell="B16" sqref="B16"/>
    </sheetView>
  </sheetViews>
  <sheetFormatPr defaultRowHeight="15" x14ac:dyDescent="0.25"/>
  <cols>
    <col min="1" max="1" width="11.7109375" customWidth="1"/>
    <col min="2" max="2" width="38" customWidth="1"/>
    <col min="3" max="3" width="7" customWidth="1"/>
    <col min="4" max="4" width="12.28515625" customWidth="1"/>
    <col min="5" max="5" width="8.5703125" bestFit="1" customWidth="1"/>
    <col min="6" max="6" width="14.28515625" style="5" customWidth="1"/>
    <col min="7" max="7" width="12.140625" customWidth="1"/>
    <col min="8" max="8" width="9.5703125" customWidth="1"/>
    <col min="9" max="9" width="14.5703125" style="5" customWidth="1"/>
    <col min="10" max="10" width="26.140625" style="5" customWidth="1"/>
    <col min="11" max="11" width="10.7109375" hidden="1" customWidth="1"/>
    <col min="12" max="12" width="23.140625" hidden="1" customWidth="1"/>
  </cols>
  <sheetData>
    <row r="1" spans="1:62" ht="21" x14ac:dyDescent="0.35">
      <c r="A1" s="6"/>
      <c r="B1" s="2"/>
      <c r="C1" s="2"/>
      <c r="D1" s="50" t="s">
        <v>127</v>
      </c>
      <c r="E1" s="51"/>
      <c r="F1" s="52"/>
      <c r="G1" s="50" t="s">
        <v>128</v>
      </c>
      <c r="H1" s="53"/>
      <c r="I1" s="54"/>
      <c r="J1" s="4"/>
      <c r="K1" s="2" t="s">
        <v>139</v>
      </c>
      <c r="L1" s="2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</row>
    <row r="2" spans="1:62" ht="15.75" thickBot="1" x14ac:dyDescent="0.3">
      <c r="A2" s="6"/>
      <c r="B2" s="1"/>
      <c r="C2" s="1"/>
      <c r="D2" s="55"/>
      <c r="E2" s="56"/>
      <c r="F2" s="57"/>
      <c r="G2" s="60"/>
      <c r="H2" s="58"/>
      <c r="I2" s="59"/>
      <c r="J2" s="4"/>
      <c r="K2" s="2"/>
      <c r="L2" s="2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</row>
    <row r="3" spans="1:62" hidden="1" x14ac:dyDescent="0.25">
      <c r="A3" s="33"/>
      <c r="B3" s="1"/>
      <c r="C3" s="1"/>
      <c r="D3" s="49"/>
      <c r="E3" s="3"/>
      <c r="F3" s="18"/>
      <c r="G3" s="49"/>
      <c r="H3" s="3"/>
      <c r="I3" s="43"/>
      <c r="J3" s="4"/>
      <c r="K3" s="2"/>
      <c r="L3" s="2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</row>
    <row r="4" spans="1:62" s="7" customFormat="1" ht="30" x14ac:dyDescent="0.25">
      <c r="A4" s="33"/>
      <c r="B4" s="44" t="s">
        <v>138</v>
      </c>
      <c r="C4" s="45" t="s">
        <v>129</v>
      </c>
      <c r="D4" s="46" t="s">
        <v>225</v>
      </c>
      <c r="E4" s="47" t="s">
        <v>226</v>
      </c>
      <c r="F4" s="48" t="s">
        <v>227</v>
      </c>
      <c r="G4" s="46" t="s">
        <v>225</v>
      </c>
      <c r="H4" s="47" t="s">
        <v>226</v>
      </c>
      <c r="I4" s="48" t="s">
        <v>227</v>
      </c>
      <c r="J4" s="4"/>
      <c r="K4" s="34" t="s">
        <v>127</v>
      </c>
      <c r="L4" s="35" t="s">
        <v>128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</row>
    <row r="5" spans="1:62" s="7" customFormat="1" x14ac:dyDescent="0.25">
      <c r="A5" s="33"/>
      <c r="B5" s="32" t="s">
        <v>20</v>
      </c>
      <c r="C5" s="16" t="s">
        <v>132</v>
      </c>
      <c r="D5" s="19" t="s">
        <v>87</v>
      </c>
      <c r="E5" s="8"/>
      <c r="F5" s="24">
        <f>0.001*(2*0.2*80*1000/(((0.0029*6.9)+(0.0033*9)+(0.0037*10))))</f>
        <v>369.04624610771538</v>
      </c>
      <c r="G5" s="19" t="s">
        <v>89</v>
      </c>
      <c r="H5" s="8" t="s">
        <v>174</v>
      </c>
      <c r="I5" s="13">
        <f>0.001*(2*0.2*80*1000/(2.4+((0.0029*6.9)+(0.0033*9)+(0.0037*10))))</f>
        <v>12.868408459370013</v>
      </c>
      <c r="J5" s="36"/>
      <c r="K5" s="37">
        <v>176.952</v>
      </c>
      <c r="L5" s="38">
        <v>12.398999999999999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</row>
    <row r="6" spans="1:62" s="7" customFormat="1" x14ac:dyDescent="0.25">
      <c r="A6" s="33"/>
      <c r="B6" s="32" t="s">
        <v>21</v>
      </c>
      <c r="C6" s="16" t="s">
        <v>130</v>
      </c>
      <c r="D6" s="19" t="s">
        <v>70</v>
      </c>
      <c r="E6" s="8" t="s">
        <v>175</v>
      </c>
      <c r="F6" s="24">
        <f>(0.000001/0.2)*80*1000/(((0.0029*5.7)+(0.0033*7.4)+(0.0037*8.4)))</f>
        <v>5.5532417048452025</v>
      </c>
      <c r="G6" s="19" t="s">
        <v>74</v>
      </c>
      <c r="H6" s="8" t="s">
        <v>176</v>
      </c>
      <c r="I6" s="14">
        <f>(0.000001/0.2)*80*1000/(2.4+((0.0029*5.7)+(0.0033*7.4)+(0.0037*8.4)))</f>
        <v>0.161810334016982</v>
      </c>
      <c r="J6" s="36"/>
      <c r="K6" s="37">
        <v>2.67</v>
      </c>
      <c r="L6" s="38">
        <v>0.157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</row>
    <row r="7" spans="1:62" s="7" customFormat="1" x14ac:dyDescent="0.25">
      <c r="A7" s="33"/>
      <c r="B7" s="32" t="s">
        <v>22</v>
      </c>
      <c r="C7" s="16" t="s">
        <v>130</v>
      </c>
      <c r="D7" s="19" t="s">
        <v>90</v>
      </c>
      <c r="E7" s="8" t="s">
        <v>177</v>
      </c>
      <c r="F7" s="24">
        <f>0.05*0.2*80*1000/(((0.0029*2)+(0.0033*2.4)+(0.0037*2.6)))</f>
        <v>34275.921165381325</v>
      </c>
      <c r="G7" s="19" t="s">
        <v>91</v>
      </c>
      <c r="H7" s="8" t="s">
        <v>106</v>
      </c>
      <c r="I7" s="13">
        <f>0.05*0.2*80*1000/(2.4+((0.0029*2)+(0.0033*2.4)+(0.0037*2.6)))</f>
        <v>330.12288824514928</v>
      </c>
      <c r="J7" s="36"/>
      <c r="K7" s="37">
        <v>16293</v>
      </c>
      <c r="L7" s="38">
        <v>327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62" s="7" customFormat="1" x14ac:dyDescent="0.25">
      <c r="A8" s="33"/>
      <c r="B8" s="32" t="s">
        <v>8</v>
      </c>
      <c r="C8" s="16" t="s">
        <v>132</v>
      </c>
      <c r="D8" s="19" t="s">
        <v>57</v>
      </c>
      <c r="E8" s="8" t="s">
        <v>155</v>
      </c>
      <c r="F8" s="24">
        <f>0.001*(0.3*0.2*80*1000/(((0.0029*52)+(0.0033*71)+(0.0037*82))))</f>
        <v>6.9716775599128544</v>
      </c>
      <c r="G8" s="19" t="s">
        <v>60</v>
      </c>
      <c r="H8" s="8" t="s">
        <v>156</v>
      </c>
      <c r="I8" s="13">
        <f>0.001*(0.3*0.2*80*1000/(2.4+((0.0029*52)+(0.0033*71)+(0.0037*82))))</f>
        <v>1.5541525012141817</v>
      </c>
      <c r="J8" s="36"/>
      <c r="K8" s="37">
        <v>3.371</v>
      </c>
      <c r="L8" s="38">
        <v>1.2549999999999999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 spans="1:62" s="7" customFormat="1" x14ac:dyDescent="0.25">
      <c r="A9" s="33"/>
      <c r="B9" s="32" t="s">
        <v>19</v>
      </c>
      <c r="C9" s="16" t="s">
        <v>130</v>
      </c>
      <c r="D9" s="19" t="s">
        <v>83</v>
      </c>
      <c r="E9" s="8" t="s">
        <v>172</v>
      </c>
      <c r="F9" s="24">
        <f>(0.000001/0.0033)*80*1000/(((0.0029*1.6)+(0.0033*1.8)+(0.0037*1.9)))</f>
        <v>1376.628293152995</v>
      </c>
      <c r="G9" s="19" t="s">
        <v>84</v>
      </c>
      <c r="H9" s="8" t="s">
        <v>173</v>
      </c>
      <c r="I9" s="13">
        <f>(0.000001/0.0033)*80*1000/(2.4+((0.0029*1.6)+(0.0033*1.8)+(0.0037*1.9)))</f>
        <v>10.02743380546252</v>
      </c>
      <c r="J9" s="36"/>
      <c r="K9" s="37">
        <v>649.4</v>
      </c>
      <c r="L9" s="38">
        <v>9.9459999999999997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</row>
    <row r="10" spans="1:62" s="7" customFormat="1" x14ac:dyDescent="0.25">
      <c r="A10" s="33"/>
      <c r="B10" s="32" t="s">
        <v>9</v>
      </c>
      <c r="C10" s="16" t="s">
        <v>132</v>
      </c>
      <c r="D10" s="19" t="s">
        <v>61</v>
      </c>
      <c r="E10" s="8" t="s">
        <v>157</v>
      </c>
      <c r="F10" s="21">
        <f>0.001*(0.002*0.2*80*1000/(((0.0029*31)+(0.0033*120)+(0.0037*190))))</f>
        <v>2.6915636302464459E-2</v>
      </c>
      <c r="G10" s="19" t="s">
        <v>62</v>
      </c>
      <c r="H10" s="8" t="s">
        <v>72</v>
      </c>
      <c r="I10" s="10">
        <f>0.001*0.002*0.2*80*1000/(2.4+((0.0029*31)+(0.0033*120)+(0.0037*190)))</f>
        <v>8.9163810638357172E-3</v>
      </c>
      <c r="J10" s="36"/>
      <c r="K10" s="37">
        <v>1.43E-2</v>
      </c>
      <c r="L10" s="38">
        <v>6.8999999999999999E-3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</row>
    <row r="11" spans="1:62" s="7" customFormat="1" x14ac:dyDescent="0.25">
      <c r="A11" s="33"/>
      <c r="B11" s="32" t="s">
        <v>10</v>
      </c>
      <c r="C11" s="16" t="s">
        <v>132</v>
      </c>
      <c r="D11" s="19" t="s">
        <v>63</v>
      </c>
      <c r="E11" s="8" t="s">
        <v>157</v>
      </c>
      <c r="F11" s="25">
        <f>0.001*(0.07*0.2*80*1000/(((0.0029*28)+(0.0033*66)+(0.0037*84))))</f>
        <v>1.8366677599212855</v>
      </c>
      <c r="G11" s="19" t="s">
        <v>64</v>
      </c>
      <c r="H11" s="8" t="s">
        <v>72</v>
      </c>
      <c r="I11" s="14">
        <f>0.001*0.07*0.2*80*1000/(2.4+((0.0029*28)+(0.0033*66)+(0.0037*84)))</f>
        <v>0.37211774868762049</v>
      </c>
      <c r="J11" s="36"/>
      <c r="K11" s="37">
        <v>0.92700000000000005</v>
      </c>
      <c r="L11" s="38">
        <v>0.21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</row>
    <row r="12" spans="1:62" s="7" customFormat="1" x14ac:dyDescent="0.25">
      <c r="A12" s="33"/>
      <c r="B12" s="32" t="s">
        <v>54</v>
      </c>
      <c r="C12" s="16" t="s">
        <v>130</v>
      </c>
      <c r="D12" s="19" t="s">
        <v>114</v>
      </c>
      <c r="E12" s="8" t="s">
        <v>210</v>
      </c>
      <c r="F12" s="25">
        <f>(0.000001/0.011)*80*1000/(((0.0029*94)+(0.0033*130)+(0.0037*150)))</f>
        <v>5.7876231678555401</v>
      </c>
      <c r="G12" s="19" t="s">
        <v>126</v>
      </c>
      <c r="H12" s="8" t="s">
        <v>211</v>
      </c>
      <c r="I12" s="13">
        <f>(0.000001/0.011)*80*1000/(2.4+((0.0029*94)+(0.0033*130)+(0.0037*150)))</f>
        <v>1.9889315956700959</v>
      </c>
      <c r="J12" s="36"/>
      <c r="K12" s="37">
        <v>2.8</v>
      </c>
      <c r="L12" s="38">
        <v>1.4550000000000001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</row>
    <row r="13" spans="1:62" s="7" customFormat="1" x14ac:dyDescent="0.25">
      <c r="A13" s="33"/>
      <c r="B13" s="32" t="s">
        <v>50</v>
      </c>
      <c r="C13" s="16" t="s">
        <v>130</v>
      </c>
      <c r="D13" s="19" t="s">
        <v>76</v>
      </c>
      <c r="E13" s="8" t="s">
        <v>204</v>
      </c>
      <c r="F13" s="24">
        <f>0.003*0.2*80*1000/(((0.0029*31)+(0.0033*42)+(0.0037*48)))</f>
        <v>118.19748830337355</v>
      </c>
      <c r="G13" s="19" t="s">
        <v>89</v>
      </c>
      <c r="H13" s="8" t="s">
        <v>205</v>
      </c>
      <c r="I13" s="13">
        <f>0.003*0.2*80*1000/(2.4+((0.0029*31)+(0.0033*42)+(0.0037*48)))</f>
        <v>17.105591390185669</v>
      </c>
      <c r="J13" s="36"/>
      <c r="K13" s="37">
        <v>57</v>
      </c>
      <c r="L13" s="38">
        <v>14.8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</row>
    <row r="14" spans="1:62" s="7" customFormat="1" x14ac:dyDescent="0.25">
      <c r="A14" s="33"/>
      <c r="B14" s="32" t="s">
        <v>51</v>
      </c>
      <c r="C14" s="16" t="s">
        <v>130</v>
      </c>
      <c r="D14" s="19" t="s">
        <v>124</v>
      </c>
      <c r="E14" s="8" t="s">
        <v>206</v>
      </c>
      <c r="F14" s="24">
        <f>0.02*0.2*80*1000/(((0.0029*4.8)+(0.0033*6.2)+(0.0037*7)))</f>
        <v>5308.5600530856009</v>
      </c>
      <c r="G14" s="19" t="s">
        <v>58</v>
      </c>
      <c r="H14" s="8" t="s">
        <v>207</v>
      </c>
      <c r="I14" s="13">
        <f>0.02*0.2*80*1000/(2.4+((0.0029*4.8)+(0.0033*6.2)+(0.0037*7)))</f>
        <v>130.06649649633374</v>
      </c>
      <c r="J14" s="36"/>
      <c r="K14" s="37">
        <v>2550</v>
      </c>
      <c r="L14" s="38">
        <v>127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</row>
    <row r="15" spans="1:62" s="7" customFormat="1" x14ac:dyDescent="0.25">
      <c r="A15" s="33"/>
      <c r="B15" s="32" t="s">
        <v>52</v>
      </c>
      <c r="C15" s="16" t="s">
        <v>130</v>
      </c>
      <c r="D15" s="19" t="s">
        <v>91</v>
      </c>
      <c r="E15" s="8" t="s">
        <v>165</v>
      </c>
      <c r="F15" s="24">
        <f>0.002*0.2*80*1000/(((0.0099*4.4)))</f>
        <v>734.61891643709816</v>
      </c>
      <c r="G15" s="19" t="s">
        <v>89</v>
      </c>
      <c r="H15" s="8" t="s">
        <v>92</v>
      </c>
      <c r="I15" s="13">
        <f>0.002*0.2*80*1000/(2.4+((0.0099*4.4)))</f>
        <v>13.095647334217292</v>
      </c>
      <c r="J15" s="36"/>
      <c r="K15" s="37">
        <v>331</v>
      </c>
      <c r="L15" s="38">
        <v>12.8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</row>
    <row r="16" spans="1:62" s="7" customFormat="1" x14ac:dyDescent="0.25">
      <c r="A16" s="33"/>
      <c r="B16" s="32" t="s">
        <v>11</v>
      </c>
      <c r="C16" s="16" t="s">
        <v>130</v>
      </c>
      <c r="D16" s="19" t="s">
        <v>56</v>
      </c>
      <c r="E16" s="8" t="s">
        <v>158</v>
      </c>
      <c r="F16" s="25">
        <f>(0.000001/0.667)*80*1000/(((0.0029*2.8)+(0.0033*3.5)+(0.0037*3.9)))</f>
        <v>3.5173029321116567</v>
      </c>
      <c r="G16" s="19" t="s">
        <v>65</v>
      </c>
      <c r="H16" s="8" t="s">
        <v>159</v>
      </c>
      <c r="I16" s="10">
        <f>(0.000001/0.667)*80*1000/(2.4+((0.0029*2.8)+(0.0033*3.5)+(0.0037*3.9)))</f>
        <v>4.9274898313548122E-2</v>
      </c>
      <c r="J16" s="36"/>
      <c r="K16" s="37">
        <v>1.6830000000000001</v>
      </c>
      <c r="L16" s="38">
        <v>4.8529999999999997E-2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</row>
    <row r="17" spans="1:62" s="7" customFormat="1" x14ac:dyDescent="0.25">
      <c r="A17" s="33"/>
      <c r="B17" s="32" t="s">
        <v>36</v>
      </c>
      <c r="C17" s="16" t="s">
        <v>130</v>
      </c>
      <c r="D17" s="19" t="s">
        <v>82</v>
      </c>
      <c r="E17" s="8" t="s">
        <v>166</v>
      </c>
      <c r="F17" s="24">
        <f>0.08*0.8*80*1000/((0.0029*150)+(0.0033*210)+(0.0037*240))</f>
        <v>2539.6825396825398</v>
      </c>
      <c r="G17" s="19" t="s">
        <v>109</v>
      </c>
      <c r="H17" s="8" t="s">
        <v>82</v>
      </c>
      <c r="I17" s="13">
        <f>0.08*0.8*80*1000/(2.4+((0.0029*150)+(0.0033*210)+(0.0037*240)))</f>
        <v>1159.4202898550723</v>
      </c>
      <c r="J17" s="36"/>
      <c r="K17" s="37">
        <v>1228</v>
      </c>
      <c r="L17" s="38">
        <v>779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</row>
    <row r="18" spans="1:62" s="7" customFormat="1" x14ac:dyDescent="0.25">
      <c r="A18" s="33"/>
      <c r="B18" s="32" t="s">
        <v>49</v>
      </c>
      <c r="C18" s="16" t="s">
        <v>130</v>
      </c>
      <c r="D18" s="19" t="s">
        <v>109</v>
      </c>
      <c r="E18" s="8" t="s">
        <v>96</v>
      </c>
      <c r="F18" s="24">
        <f>0.005*0.2*80*1000/(((0.0029*3.8)+(0.0033*4.8)+(0.0037*5.4)))</f>
        <v>1707.9419299743809</v>
      </c>
      <c r="G18" s="19" t="s">
        <v>108</v>
      </c>
      <c r="H18" s="8" t="s">
        <v>77</v>
      </c>
      <c r="I18" s="13">
        <f>0.005*0.2*80*1000/(2.4+((0.0029*3.8)+(0.0033*4.8)+(0.0037*5.4)))</f>
        <v>32.695231400500241</v>
      </c>
      <c r="J18" s="36"/>
      <c r="K18" s="37">
        <v>819</v>
      </c>
      <c r="L18" s="38">
        <v>32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</row>
    <row r="19" spans="1:62" s="7" customFormat="1" x14ac:dyDescent="0.25">
      <c r="A19" s="33"/>
      <c r="B19" s="32" t="s">
        <v>46</v>
      </c>
      <c r="C19" s="16" t="s">
        <v>130</v>
      </c>
      <c r="D19" s="19" t="s">
        <v>108</v>
      </c>
      <c r="E19" s="8" t="s">
        <v>199</v>
      </c>
      <c r="F19" s="24">
        <f>0.0003*0.2*80*1000/(((0.0029*6.8)+(0.0033*8.9)+(0.0037*10)))</f>
        <v>55.755604599837376</v>
      </c>
      <c r="G19" s="19" t="s">
        <v>71</v>
      </c>
      <c r="H19" s="8" t="s">
        <v>200</v>
      </c>
      <c r="I19" s="13">
        <f>0.0003*0.2*80*1000/(2.4+((0.0029*6.8)+(0.0033*8.9)+(0.0037*10)))</f>
        <v>1.9307426521163755</v>
      </c>
      <c r="J19" s="36"/>
      <c r="K19" s="37">
        <v>26.8</v>
      </c>
      <c r="L19" s="38">
        <v>1.86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</row>
    <row r="20" spans="1:62" s="7" customFormat="1" x14ac:dyDescent="0.25">
      <c r="A20" s="33"/>
      <c r="B20" s="32" t="s">
        <v>26</v>
      </c>
      <c r="C20" s="16" t="s">
        <v>130</v>
      </c>
      <c r="D20" s="19" t="s">
        <v>95</v>
      </c>
      <c r="E20" s="8" t="s">
        <v>181</v>
      </c>
      <c r="F20" s="24">
        <f>0.06*0.2*80*1000/(((0.0099*510)))</f>
        <v>190.13666072489602</v>
      </c>
      <c r="G20" s="19" t="s">
        <v>92</v>
      </c>
      <c r="H20" s="8" t="s">
        <v>182</v>
      </c>
      <c r="I20" s="13">
        <f>0.06*0.2*80*1000/(2.4+((0.0099*510)))</f>
        <v>128.87635924285138</v>
      </c>
      <c r="J20" s="36"/>
      <c r="K20" s="37">
        <v>85.6</v>
      </c>
      <c r="L20" s="38">
        <v>70.5</v>
      </c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</row>
    <row r="21" spans="1:62" s="7" customFormat="1" x14ac:dyDescent="0.25">
      <c r="A21" s="33"/>
      <c r="B21" s="32" t="s">
        <v>7</v>
      </c>
      <c r="C21" s="16" t="s">
        <v>130</v>
      </c>
      <c r="D21" s="19" t="s">
        <v>59</v>
      </c>
      <c r="E21" s="8" t="s">
        <v>152</v>
      </c>
      <c r="F21" s="24">
        <f>((0.000001/0.54)*80*1000)/(((0.0029*1)+(0.0033*1)+(0.0037*1)))</f>
        <v>14.964459408903851</v>
      </c>
      <c r="G21" s="19">
        <v>6.0999999999999999E-2</v>
      </c>
      <c r="H21" s="8" t="s">
        <v>154</v>
      </c>
      <c r="I21" s="10">
        <f>((0.000001/0.54)*80*1000)/(2.4+((0.0029*1)+(0.0033*1)+(0.0037*1)))</f>
        <v>6.1474811464437576E-2</v>
      </c>
      <c r="J21" s="36"/>
      <c r="K21" s="37">
        <v>6.9550000000000001</v>
      </c>
      <c r="L21" s="38">
        <v>6.1190000000000001E-2</v>
      </c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</row>
    <row r="22" spans="1:62" s="7" customFormat="1" x14ac:dyDescent="0.25">
      <c r="A22" s="33"/>
      <c r="B22" s="32" t="s">
        <v>2</v>
      </c>
      <c r="C22" s="17" t="s">
        <v>131</v>
      </c>
      <c r="D22" s="19">
        <v>7.6999999999999996E-4</v>
      </c>
      <c r="E22" s="8" t="s">
        <v>148</v>
      </c>
      <c r="F22" s="23">
        <f>1000*((0.000001/17)*1000)*80/((0.0029*18000)+(0.0033*310000)+(0.0037*650000))</f>
        <v>1.3521873320329798E-3</v>
      </c>
      <c r="G22" s="19">
        <v>7.6999999999999996E-4</v>
      </c>
      <c r="H22" s="8" t="s">
        <v>148</v>
      </c>
      <c r="I22" s="12">
        <f>1000*((0.000001/17)*1000)*80/((0.0029*18000)+(0.0033*310000)+(0.0037*650000))</f>
        <v>1.3521873320329798E-3</v>
      </c>
      <c r="J22" s="36"/>
      <c r="K22" s="37">
        <v>7.6920000000000005E-4</v>
      </c>
      <c r="L22" s="38">
        <v>7.6889999999999999E-4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</row>
    <row r="23" spans="1:62" s="7" customFormat="1" x14ac:dyDescent="0.25">
      <c r="A23" s="33"/>
      <c r="B23" s="32" t="s">
        <v>41</v>
      </c>
      <c r="C23" s="16" t="s">
        <v>130</v>
      </c>
      <c r="D23" s="19" t="s">
        <v>116</v>
      </c>
      <c r="E23" s="8" t="s">
        <v>100</v>
      </c>
      <c r="F23" s="26">
        <f>(0.000001/6.3)*80*1000/(((0.0029*1700)+(0.0033*1400)+(0.0037*1500)))</f>
        <v>8.4095448333858908E-4</v>
      </c>
      <c r="G23" s="19" t="s">
        <v>86</v>
      </c>
      <c r="H23" s="8" t="s">
        <v>191</v>
      </c>
      <c r="I23" s="15">
        <f>(0.000001/6.3)*80*1000/(2.4+((0.0029*1700)+(0.0033*1400)+(0.0037*1500)))</f>
        <v>7.2562358276643982E-4</v>
      </c>
      <c r="J23" s="36"/>
      <c r="K23" s="37">
        <v>3.8939999999999998E-4</v>
      </c>
      <c r="L23" s="38">
        <v>3.6269999999999998E-4</v>
      </c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</row>
    <row r="24" spans="1:62" s="7" customFormat="1" x14ac:dyDescent="0.25">
      <c r="A24" s="33"/>
      <c r="B24" s="32" t="s">
        <v>27</v>
      </c>
      <c r="C24" s="16" t="s">
        <v>130</v>
      </c>
      <c r="D24" s="19" t="s">
        <v>96</v>
      </c>
      <c r="E24" s="8" t="s">
        <v>183</v>
      </c>
      <c r="F24" s="24">
        <f>0.3*0.2*80*1000/(((0.0099*610)))</f>
        <v>794.83358171882753</v>
      </c>
      <c r="G24" s="19" t="s">
        <v>91</v>
      </c>
      <c r="H24" s="8" t="s">
        <v>184</v>
      </c>
      <c r="I24" s="13">
        <f>0.3*0.2*80*1000/(2.4+((0.0099*610)))</f>
        <v>568.78777106292216</v>
      </c>
      <c r="J24" s="36"/>
      <c r="K24" s="37">
        <v>358</v>
      </c>
      <c r="L24" s="38">
        <v>303</v>
      </c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</row>
    <row r="25" spans="1:62" s="7" customFormat="1" x14ac:dyDescent="0.25">
      <c r="A25" s="33"/>
      <c r="B25" s="32" t="s">
        <v>28</v>
      </c>
      <c r="C25" s="16" t="s">
        <v>130</v>
      </c>
      <c r="D25" s="19" t="s">
        <v>97</v>
      </c>
      <c r="E25" s="8" t="s">
        <v>149</v>
      </c>
      <c r="F25" s="23">
        <f>(0.000001/0.73)*80*1000/((0.0099*3900))</f>
        <v>2.8383590027425639E-3</v>
      </c>
      <c r="G25" s="19" t="s">
        <v>98</v>
      </c>
      <c r="H25" s="8" t="s">
        <v>185</v>
      </c>
      <c r="I25" s="12">
        <f>(0.000001/0.73)*80*1000/(2.4+(0.0099*3900))</f>
        <v>2.6722516726625308E-3</v>
      </c>
      <c r="J25" s="36"/>
      <c r="K25" s="37">
        <v>1.2769999999999999E-3</v>
      </c>
      <c r="L25" s="38">
        <v>1.243E-3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</row>
    <row r="26" spans="1:62" s="7" customFormat="1" x14ac:dyDescent="0.25">
      <c r="A26" s="33"/>
      <c r="B26" s="32" t="s">
        <v>29</v>
      </c>
      <c r="C26" s="16" t="s">
        <v>130</v>
      </c>
      <c r="D26" s="19" t="s">
        <v>99</v>
      </c>
      <c r="E26" s="8" t="s">
        <v>149</v>
      </c>
      <c r="F26" s="26">
        <f>(0.000001/7.3)*80*1000/((0.0099*3900))</f>
        <v>2.8383590027425637E-4</v>
      </c>
      <c r="G26" s="19" t="s">
        <v>85</v>
      </c>
      <c r="H26" s="8" t="s">
        <v>185</v>
      </c>
      <c r="I26" s="15">
        <f>(0.000001/7.3)*80*1000/(2.4+(0.0099*3900))</f>
        <v>2.6722516726625304E-4</v>
      </c>
      <c r="J26" s="36"/>
      <c r="K26" s="37">
        <v>1.2769999999999999E-4</v>
      </c>
      <c r="L26" s="38">
        <v>1.2430000000000001E-4</v>
      </c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</row>
    <row r="27" spans="1:62" s="7" customFormat="1" x14ac:dyDescent="0.25">
      <c r="A27" s="33"/>
      <c r="B27" s="32" t="s">
        <v>30</v>
      </c>
      <c r="C27" s="16" t="s">
        <v>130</v>
      </c>
      <c r="D27" s="19" t="s">
        <v>97</v>
      </c>
      <c r="E27" s="8" t="s">
        <v>149</v>
      </c>
      <c r="F27" s="23"/>
      <c r="G27" s="19" t="s">
        <v>98</v>
      </c>
      <c r="H27" s="8" t="s">
        <v>185</v>
      </c>
      <c r="I27" s="12">
        <f>(0.000001/0.73)*80*1000/(2.4+(0.0099*3900))</f>
        <v>2.6722516726625308E-3</v>
      </c>
      <c r="J27" s="36"/>
      <c r="K27" s="37">
        <v>1.2769999999999999E-3</v>
      </c>
      <c r="L27" s="38">
        <v>1.243E-3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</row>
    <row r="28" spans="1:62" s="7" customFormat="1" x14ac:dyDescent="0.25">
      <c r="A28" s="33"/>
      <c r="B28" s="32" t="s">
        <v>134</v>
      </c>
      <c r="C28" s="16" t="s">
        <v>130</v>
      </c>
      <c r="D28" s="19" t="s">
        <v>100</v>
      </c>
      <c r="E28" s="8" t="s">
        <v>149</v>
      </c>
      <c r="F28" s="21">
        <f>(0.000001/0.073)*80*1000/((0.0099*3900))</f>
        <v>2.8383590027425638E-2</v>
      </c>
      <c r="G28" s="19" t="s">
        <v>67</v>
      </c>
      <c r="H28" s="8" t="s">
        <v>185</v>
      </c>
      <c r="I28" s="10">
        <f>(0.000001/0.073)*80*1000/(2.4+(0.0099*3900))</f>
        <v>2.672251672662531E-2</v>
      </c>
      <c r="J28" s="36"/>
      <c r="K28" s="37">
        <v>1.277E-2</v>
      </c>
      <c r="L28" s="38">
        <v>1.243E-2</v>
      </c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</row>
    <row r="29" spans="1:62" s="7" customFormat="1" x14ac:dyDescent="0.25">
      <c r="A29" s="33"/>
      <c r="B29" s="32" t="s">
        <v>42</v>
      </c>
      <c r="C29" s="16" t="s">
        <v>130</v>
      </c>
      <c r="D29" s="19" t="s">
        <v>101</v>
      </c>
      <c r="E29" s="8" t="s">
        <v>192</v>
      </c>
      <c r="F29" s="21">
        <f>(0.000001/1.8)*80*1000/(((0.0029*110)+(0.0033*160)+(0.0037*180)))</f>
        <v>2.9375045898509214E-2</v>
      </c>
      <c r="G29" s="19" t="s">
        <v>117</v>
      </c>
      <c r="H29" s="8" t="s">
        <v>101</v>
      </c>
      <c r="I29" s="10">
        <f>(0.000001/1.8)*80*1000/(2.4+((0.0029*110)+(0.0033*160)+(0.0037*180)))</f>
        <v>1.1358150893034612E-2</v>
      </c>
      <c r="J29" s="36"/>
      <c r="K29" s="37">
        <v>1.4200000000000001E-2</v>
      </c>
      <c r="L29" s="38">
        <v>8.0370000000000007E-3</v>
      </c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</row>
    <row r="30" spans="1:62" s="7" customFormat="1" x14ac:dyDescent="0.25">
      <c r="A30" s="33"/>
      <c r="B30" s="32" t="s">
        <v>37</v>
      </c>
      <c r="C30" s="16" t="s">
        <v>130</v>
      </c>
      <c r="D30" s="19" t="s">
        <v>110</v>
      </c>
      <c r="E30" s="8"/>
      <c r="F30" s="22">
        <f>(0.000001/0.014)*80*1000/((0.0099*710))</f>
        <v>0.81295855943743245</v>
      </c>
      <c r="G30" s="19" t="s">
        <v>103</v>
      </c>
      <c r="H30" s="8"/>
      <c r="I30" s="11">
        <f>(0.000001/0.014)*80*1000/(2.4+(0.0099*710))</f>
        <v>0.60603305910337402</v>
      </c>
      <c r="J30" s="36"/>
      <c r="K30" s="37">
        <v>0.36580000000000001</v>
      </c>
      <c r="L30" s="38">
        <v>0.31709999999999999</v>
      </c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</row>
    <row r="31" spans="1:62" s="7" customFormat="1" x14ac:dyDescent="0.25">
      <c r="A31" s="33"/>
      <c r="B31" s="32" t="s">
        <v>15</v>
      </c>
      <c r="C31" s="16" t="s">
        <v>130</v>
      </c>
      <c r="D31" s="19" t="s">
        <v>77</v>
      </c>
      <c r="E31" s="8" t="s">
        <v>164</v>
      </c>
      <c r="F31" s="24">
        <f>(0.000001/0.0045)*80*1000/(((0.0029*5.8)+(0.0033*7.5)+(0.0037*8.5)))</f>
        <v>243.46449983261817</v>
      </c>
      <c r="G31" s="19" t="s">
        <v>55</v>
      </c>
      <c r="H31" s="8" t="s">
        <v>167</v>
      </c>
      <c r="I31" s="14">
        <f>(0.000001/0.0045)*80*1000/(2.4+((0.0029*5.8)+(0.0033*7.5)+(0.0037*8.5)))</f>
        <v>7.1886914694494095</v>
      </c>
      <c r="J31" s="36"/>
      <c r="K31" s="37">
        <v>117</v>
      </c>
      <c r="L31" s="38">
        <v>6.9660000000000002</v>
      </c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</row>
    <row r="32" spans="1:62" s="7" customFormat="1" x14ac:dyDescent="0.25">
      <c r="A32" s="33"/>
      <c r="B32" s="32" t="s">
        <v>135</v>
      </c>
      <c r="C32" s="16" t="s">
        <v>130</v>
      </c>
      <c r="D32" s="19" t="s">
        <v>105</v>
      </c>
      <c r="E32" s="8"/>
      <c r="F32" s="22">
        <f>(0.000001/0.0019)*80*1000/((0.0099*19000))</f>
        <v>0.22384509919135953</v>
      </c>
      <c r="G32" s="19" t="s">
        <v>105</v>
      </c>
      <c r="H32" s="8"/>
      <c r="I32" s="11">
        <f>(0.000001/0.0019)*80*1000/(2.4+(0.0099*19000))</f>
        <v>0.22102500345351561</v>
      </c>
      <c r="J32" s="36"/>
      <c r="K32" s="37">
        <v>0.1007</v>
      </c>
      <c r="L32" s="38">
        <v>0.1002</v>
      </c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</row>
    <row r="33" spans="1:62" s="7" customFormat="1" x14ac:dyDescent="0.25">
      <c r="A33" s="33"/>
      <c r="B33" s="32" t="s">
        <v>13</v>
      </c>
      <c r="C33" s="16" t="s">
        <v>130</v>
      </c>
      <c r="D33" s="19" t="s">
        <v>68</v>
      </c>
      <c r="E33" s="8" t="s">
        <v>113</v>
      </c>
      <c r="F33" s="24">
        <f>(0.000001/0.07)*80*1000/(((0.0029*9.3)+(0.0033*12)+(0.0037*14)))</f>
        <v>9.654956009606682</v>
      </c>
      <c r="G33" s="19" t="s">
        <v>72</v>
      </c>
      <c r="H33" s="8" t="s">
        <v>161</v>
      </c>
      <c r="I33" s="14">
        <f>(0.000001/0.07)*80*1000/(2.4+((0.0029*9.3)+(0.0033*12)+(0.0037*14)))</f>
        <v>0.45380827394590262</v>
      </c>
      <c r="J33" s="36"/>
      <c r="K33" s="37">
        <v>4.66</v>
      </c>
      <c r="L33" s="38">
        <v>0.432</v>
      </c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</row>
    <row r="34" spans="1:62" s="7" customFormat="1" x14ac:dyDescent="0.25">
      <c r="A34" s="33"/>
      <c r="B34" s="32" t="s">
        <v>133</v>
      </c>
      <c r="C34" s="17" t="s">
        <v>131</v>
      </c>
      <c r="D34" s="19" t="s">
        <v>140</v>
      </c>
      <c r="E34" s="8" t="s">
        <v>145</v>
      </c>
      <c r="F34" s="21">
        <f>1000*(0.000001/0.35)*80*1000/((0.0029*5300)+(0.0033*44000)+(0.0037*60000))</f>
        <v>0.59746302264011442</v>
      </c>
      <c r="G34" s="19" t="s">
        <v>141</v>
      </c>
      <c r="H34" s="8" t="s">
        <v>145</v>
      </c>
      <c r="I34" s="11">
        <f>1000*(0.000001/0.35)*80*1000/(2.4+((0.0029*5300)+(0.0033*44000)+(0.0037*60000)))</f>
        <v>0.59373828758456137</v>
      </c>
      <c r="J34" s="36"/>
      <c r="K34" s="37">
        <v>0.31540000000000001</v>
      </c>
      <c r="L34" s="38">
        <v>0.31440000000000001</v>
      </c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</row>
    <row r="35" spans="1:62" s="7" customFormat="1" x14ac:dyDescent="0.25">
      <c r="A35" s="33"/>
      <c r="B35" s="32" t="s">
        <v>44</v>
      </c>
      <c r="C35" s="16" t="s">
        <v>132</v>
      </c>
      <c r="D35" s="19" t="s">
        <v>142</v>
      </c>
      <c r="E35" s="8" t="s">
        <v>195</v>
      </c>
      <c r="F35" s="25">
        <f>0.001*(0.02*0.2*80*1000/(((0.0029*14)+(0.0033*19)+(0.0037*22))))</f>
        <v>1.7325392528424473</v>
      </c>
      <c r="G35" s="19" t="s">
        <v>143</v>
      </c>
      <c r="H35" s="8" t="s">
        <v>196</v>
      </c>
      <c r="I35" s="15">
        <f>0.001*0.02*0.2*80*1000/(2.4+((0.0029*14)+(0.0033*19)+(0.0037*22)))</f>
        <v>0.12380547065423457</v>
      </c>
      <c r="J35" s="36"/>
      <c r="K35" s="37">
        <v>838</v>
      </c>
      <c r="L35" s="38">
        <v>115</v>
      </c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</row>
    <row r="36" spans="1:62" s="7" customFormat="1" x14ac:dyDescent="0.25">
      <c r="A36" s="33"/>
      <c r="B36" s="32" t="s">
        <v>14</v>
      </c>
      <c r="C36" s="16" t="s">
        <v>130</v>
      </c>
      <c r="D36" s="19" t="s">
        <v>75</v>
      </c>
      <c r="E36" s="8" t="s">
        <v>162</v>
      </c>
      <c r="F36" s="24">
        <f>0.01*0.2*80*1000/(((0.0029*2.8)+(0.0033*3.4)+(0.0037*3.8)))</f>
        <v>4790.4191616766466</v>
      </c>
      <c r="G36" s="19" t="s">
        <v>76</v>
      </c>
      <c r="H36" s="8" t="s">
        <v>163</v>
      </c>
      <c r="I36" s="13">
        <f>0.01*0.2*80*1000/(2.4+((0.0029*2.8)+(0.0033*3.4)+(0.0037*3.8)))</f>
        <v>65.751623243198821</v>
      </c>
      <c r="J36" s="36"/>
      <c r="K36" s="37">
        <v>2289</v>
      </c>
      <c r="L36" s="38">
        <v>64.8</v>
      </c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</row>
    <row r="37" spans="1:62" s="7" customFormat="1" x14ac:dyDescent="0.25">
      <c r="A37" s="33"/>
      <c r="B37" s="32" t="s">
        <v>31</v>
      </c>
      <c r="C37" s="16" t="s">
        <v>130</v>
      </c>
      <c r="D37" s="19" t="s">
        <v>102</v>
      </c>
      <c r="E37" s="8" t="s">
        <v>149</v>
      </c>
      <c r="F37" s="21">
        <f>(0.000001/0.0073)*80*1000/((0.0099*3900))</f>
        <v>0.28383590027425637</v>
      </c>
      <c r="G37" s="19" t="s">
        <v>104</v>
      </c>
      <c r="H37" s="8" t="s">
        <v>185</v>
      </c>
      <c r="I37" s="10">
        <f>(0.000001/0.0073)*80*1000/(2.4+(0.0099*3900))</f>
        <v>0.26722516726625306</v>
      </c>
      <c r="J37" s="36"/>
      <c r="K37" s="37">
        <v>0.12770000000000001</v>
      </c>
      <c r="L37" s="38">
        <v>0.12429999999999999</v>
      </c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</row>
    <row r="38" spans="1:62" s="7" customFormat="1" x14ac:dyDescent="0.25">
      <c r="A38" s="33"/>
      <c r="B38" s="32" t="s">
        <v>0</v>
      </c>
      <c r="C38" s="16" t="s">
        <v>130</v>
      </c>
      <c r="D38" s="19">
        <v>400</v>
      </c>
      <c r="E38" s="8" t="s">
        <v>144</v>
      </c>
      <c r="F38" s="20">
        <f>(0.0006*0.2*80*1000)/(0.0099*1)</f>
        <v>969.69696969696963</v>
      </c>
      <c r="G38" s="19">
        <v>4</v>
      </c>
      <c r="H38" s="8" t="s">
        <v>144</v>
      </c>
      <c r="I38" s="9">
        <f>(0.0006*0.2*80*1000)/(2.4+(0.0099*1))</f>
        <v>3.9835677828955558</v>
      </c>
      <c r="J38" s="36"/>
      <c r="K38" s="37">
        <v>436</v>
      </c>
      <c r="L38" s="38">
        <v>3.96</v>
      </c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</row>
    <row r="39" spans="1:62" s="7" customFormat="1" x14ac:dyDescent="0.25">
      <c r="A39" s="33"/>
      <c r="B39" s="32" t="s">
        <v>1</v>
      </c>
      <c r="C39" s="17" t="s">
        <v>131</v>
      </c>
      <c r="D39" s="19">
        <v>0.03</v>
      </c>
      <c r="E39" s="8" t="s">
        <v>147</v>
      </c>
      <c r="F39" s="22">
        <f>1000*((0.000001/0.34)*1000)*80/((0.0029*35000)+(0.0033*240000)+(0.0037*1100000))</f>
        <v>4.7404879147186219E-2</v>
      </c>
      <c r="G39" s="19">
        <v>0.03</v>
      </c>
      <c r="H39" s="8" t="s">
        <v>147</v>
      </c>
      <c r="I39" s="11">
        <f>1000*((0.000001/0.34)*1000)*(80/(2.4+((0.0029*35000)+(0.0033*240000)+(0.0037*1100000))))</f>
        <v>4.738196855495657E-2</v>
      </c>
      <c r="J39" s="36"/>
      <c r="K39" s="37">
        <v>2.963E-2</v>
      </c>
      <c r="L39" s="38">
        <v>2.963E-2</v>
      </c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</row>
    <row r="40" spans="1:62" s="7" customFormat="1" x14ac:dyDescent="0.25">
      <c r="A40" s="33"/>
      <c r="B40" s="32" t="s">
        <v>32</v>
      </c>
      <c r="C40" s="16" t="s">
        <v>130</v>
      </c>
      <c r="D40" s="19" t="s">
        <v>99</v>
      </c>
      <c r="E40" s="8" t="s">
        <v>149</v>
      </c>
      <c r="F40" s="26">
        <f>(0.000001/7.3)*80*1000/((0.0099*3900))</f>
        <v>2.8383590027425637E-4</v>
      </c>
      <c r="G40" s="19" t="s">
        <v>85</v>
      </c>
      <c r="H40" s="8" t="s">
        <v>185</v>
      </c>
      <c r="I40" s="15">
        <f>(0.000001/7.3)*80*1000/(2.4+(0.0099*3900))</f>
        <v>2.6722516726625304E-4</v>
      </c>
      <c r="J40" s="36"/>
      <c r="K40" s="37">
        <v>1.2769999999999999E-4</v>
      </c>
      <c r="L40" s="38">
        <v>1.2430000000000001E-4</v>
      </c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</row>
    <row r="41" spans="1:62" s="7" customFormat="1" x14ac:dyDescent="0.25">
      <c r="A41" s="33"/>
      <c r="B41" s="32" t="s">
        <v>16</v>
      </c>
      <c r="C41" s="16" t="s">
        <v>130</v>
      </c>
      <c r="D41" s="19" t="s">
        <v>78</v>
      </c>
      <c r="E41" s="8" t="s">
        <v>155</v>
      </c>
      <c r="F41" s="24">
        <f>(0.000001/0.034)*80*1000/(((0.0029*3.4)+(0.0033*4.3)+(0.0037*4.8)))</f>
        <v>56.276995371217119</v>
      </c>
      <c r="G41" s="19" t="s">
        <v>80</v>
      </c>
      <c r="H41" s="8" t="s">
        <v>146</v>
      </c>
      <c r="I41" s="11">
        <f>(0.000001/0.034)*80*1000/(2.4+((0.0029*3.4)+(0.0033*4.3)+(0.0037*4.8)))</f>
        <v>0.96360534868420888</v>
      </c>
      <c r="J41" s="36"/>
      <c r="K41" s="37">
        <v>26.95</v>
      </c>
      <c r="L41" s="38">
        <v>0.94599999999999995</v>
      </c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</row>
    <row r="42" spans="1:62" s="7" customFormat="1" x14ac:dyDescent="0.25">
      <c r="A42" s="33"/>
      <c r="B42" s="32" t="s">
        <v>3</v>
      </c>
      <c r="C42" s="17" t="s">
        <v>131</v>
      </c>
      <c r="D42" s="19">
        <v>1.1999999999999999E-3</v>
      </c>
      <c r="E42" s="8" t="s">
        <v>148</v>
      </c>
      <c r="F42" s="23">
        <f>1000*((0.000001/16)*1000)*(80/(((0.0029*14000)+(0.0033*210000)+(0.0037*410000))))</f>
        <v>2.2216297876121922E-3</v>
      </c>
      <c r="G42" s="19">
        <v>1.1999999999999999E-3</v>
      </c>
      <c r="H42" s="8" t="s">
        <v>148</v>
      </c>
      <c r="I42" s="12">
        <f>1000*((0.000001/16)*1000)*(80/(((0.0029*14000)+(0.0033*210000)+(0.0037*410000))))</f>
        <v>2.2216297876121922E-3</v>
      </c>
      <c r="J42" s="36"/>
      <c r="K42" s="37">
        <v>1.2489999999999999E-3</v>
      </c>
      <c r="L42" s="38">
        <v>1.248E-3</v>
      </c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</row>
    <row r="43" spans="1:62" s="7" customFormat="1" x14ac:dyDescent="0.25">
      <c r="A43" s="33"/>
      <c r="B43" s="32" t="s">
        <v>39</v>
      </c>
      <c r="C43" s="16" t="s">
        <v>130</v>
      </c>
      <c r="D43" s="19" t="s">
        <v>75</v>
      </c>
      <c r="E43" s="8"/>
      <c r="F43" s="24">
        <f>10*0.2*80*1000/((0.0099*4000))</f>
        <v>4040.4040404040402</v>
      </c>
      <c r="G43" s="19" t="s">
        <v>75</v>
      </c>
      <c r="H43" s="8"/>
      <c r="I43" s="13">
        <f>10*0.2*80*1000/(2.4+(0.0099*4000))</f>
        <v>3809.5238095238096</v>
      </c>
      <c r="J43" s="36"/>
      <c r="K43" s="37">
        <v>1818</v>
      </c>
      <c r="L43" s="38">
        <v>1770</v>
      </c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</row>
    <row r="44" spans="1:62" s="7" customFormat="1" x14ac:dyDescent="0.25">
      <c r="A44" s="33"/>
      <c r="B44" s="32" t="s">
        <v>38</v>
      </c>
      <c r="C44" s="16" t="s">
        <v>130</v>
      </c>
      <c r="D44" s="19" t="s">
        <v>111</v>
      </c>
      <c r="E44" s="8"/>
      <c r="F44" s="24">
        <f>0.8*0.2*80*1000/((0.0099*920))</f>
        <v>1405.3579270970577</v>
      </c>
      <c r="G44" s="19" t="s">
        <v>111</v>
      </c>
      <c r="H44" s="8"/>
      <c r="I44" s="13">
        <f>0.8*0.2*80*1000/(2.4+(0.0099*920))</f>
        <v>1112.2697254084117</v>
      </c>
      <c r="J44" s="36"/>
      <c r="K44" s="37">
        <v>632</v>
      </c>
      <c r="L44" s="38">
        <v>565</v>
      </c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</row>
    <row r="45" spans="1:62" s="7" customFormat="1" x14ac:dyDescent="0.25">
      <c r="A45" s="33"/>
      <c r="B45" s="32" t="s">
        <v>40</v>
      </c>
      <c r="C45" s="16" t="s">
        <v>130</v>
      </c>
      <c r="D45" s="19" t="s">
        <v>108</v>
      </c>
      <c r="E45" s="8"/>
      <c r="F45" s="24">
        <f>0.1*0.2*80*1000/((0.0099*2900))</f>
        <v>55.729710902124701</v>
      </c>
      <c r="G45" s="19" t="s">
        <v>79</v>
      </c>
      <c r="H45" s="8"/>
      <c r="I45" s="13">
        <f>0.1*0.2*80*1000/(2.4+(0.0099*2900))</f>
        <v>51.430408228865325</v>
      </c>
      <c r="J45" s="36"/>
      <c r="K45" s="37">
        <v>25.1</v>
      </c>
      <c r="L45" s="38">
        <v>24.2</v>
      </c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</row>
    <row r="46" spans="1:62" s="7" customFormat="1" x14ac:dyDescent="0.25">
      <c r="A46" s="33"/>
      <c r="B46" s="32" t="s">
        <v>4</v>
      </c>
      <c r="C46" s="17" t="s">
        <v>131</v>
      </c>
      <c r="D46" s="19">
        <v>30</v>
      </c>
      <c r="E46" s="8" t="s">
        <v>150</v>
      </c>
      <c r="F46" s="24">
        <f>1000*(0.0003*0.8*80*1000)/((0.0029*4600)+(0.0033*36000)+(0.0037*46000))</f>
        <v>63.504663623734864</v>
      </c>
      <c r="G46" s="19">
        <v>30</v>
      </c>
      <c r="H46" s="8" t="s">
        <v>150</v>
      </c>
      <c r="I46" s="13">
        <f>1000*(0.0003*0.8*80*1000)/(2.4+(0.0029*4600)+(0.0033*36000)+(0.0037*46000))</f>
        <v>63.004528450482375</v>
      </c>
      <c r="J46" s="36"/>
      <c r="K46" s="37">
        <v>33.200000000000003</v>
      </c>
      <c r="L46" s="38">
        <v>33</v>
      </c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</row>
    <row r="47" spans="1:62" s="7" customFormat="1" x14ac:dyDescent="0.25">
      <c r="A47" s="33"/>
      <c r="B47" s="32" t="s">
        <v>137</v>
      </c>
      <c r="C47" s="16" t="s">
        <v>132</v>
      </c>
      <c r="D47" s="19" t="s">
        <v>119</v>
      </c>
      <c r="E47" s="8" t="s">
        <v>88</v>
      </c>
      <c r="F47" s="21">
        <f>0.001*(0.022*0.2*80*1000/(((0.0029*100)+(0.0033*140)+(0.0037*160))))</f>
        <v>0.26190476190476192</v>
      </c>
      <c r="G47" s="19" t="s">
        <v>120</v>
      </c>
      <c r="H47" s="8" t="s">
        <v>197</v>
      </c>
      <c r="I47" s="10">
        <f>0.001*0.022*0.2*80*1000/(2.4+((0.0029*100)+(0.0033*140)+(0.0037*160)))</f>
        <v>9.4017094017094016E-2</v>
      </c>
      <c r="J47" s="36"/>
      <c r="K47" s="37">
        <v>0.12659999999999999</v>
      </c>
      <c r="L47" s="38">
        <v>6.7949999999999997E-2</v>
      </c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</row>
    <row r="48" spans="1:62" s="7" customFormat="1" x14ac:dyDescent="0.25">
      <c r="A48" s="33"/>
      <c r="B48" s="32" t="s">
        <v>47</v>
      </c>
      <c r="C48" s="16" t="s">
        <v>130</v>
      </c>
      <c r="D48" s="19" t="s">
        <v>79</v>
      </c>
      <c r="E48" s="8" t="s">
        <v>201</v>
      </c>
      <c r="F48" s="24">
        <f>0.04*0.2*80*1000/(((0.0099*1500)))</f>
        <v>43.097643097643093</v>
      </c>
      <c r="G48" s="19" t="s">
        <v>79</v>
      </c>
      <c r="H48" s="8" t="s">
        <v>91</v>
      </c>
      <c r="I48" s="13">
        <f>0.04*0.2*80*1000/(2.4+((0.0099*1500)))</f>
        <v>37.10144927536232</v>
      </c>
      <c r="J48" s="36"/>
      <c r="K48" s="37">
        <v>19.399999999999999</v>
      </c>
      <c r="L48" s="38">
        <v>18.100000000000001</v>
      </c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</row>
    <row r="49" spans="1:62" s="7" customFormat="1" x14ac:dyDescent="0.25">
      <c r="A49" s="33"/>
      <c r="B49" s="32" t="s">
        <v>33</v>
      </c>
      <c r="C49" s="16" t="s">
        <v>130</v>
      </c>
      <c r="D49" s="19" t="s">
        <v>92</v>
      </c>
      <c r="E49" s="8" t="s">
        <v>186</v>
      </c>
      <c r="F49" s="24">
        <f>0.04*0.2*80*1000/(((0.0029*230)+(0.0033*450)+(0.0037*710)))</f>
        <v>133.9192299644277</v>
      </c>
      <c r="G49" s="19" t="s">
        <v>107</v>
      </c>
      <c r="H49" s="8" t="s">
        <v>187</v>
      </c>
      <c r="I49" s="13">
        <f>0.04*0.2*80*1000/(2.4+((0.0029*230)+(0.0033*450)+(0.0037*710)))</f>
        <v>89.1489065329433</v>
      </c>
      <c r="J49" s="36"/>
      <c r="K49" s="37">
        <v>69.3</v>
      </c>
      <c r="L49" s="38">
        <v>54.99</v>
      </c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</row>
    <row r="50" spans="1:62" s="7" customFormat="1" x14ac:dyDescent="0.25">
      <c r="A50" s="33"/>
      <c r="B50" s="32" t="s">
        <v>43</v>
      </c>
      <c r="C50" s="16" t="s">
        <v>130</v>
      </c>
      <c r="D50" s="19" t="s">
        <v>113</v>
      </c>
      <c r="E50" s="8" t="s">
        <v>193</v>
      </c>
      <c r="F50" s="25">
        <f>0.0047*0.5*80*1000/(((0.0029*1200)+(0.0033*2400)+(0.0037*2500)))</f>
        <v>9.1041162227602914</v>
      </c>
      <c r="G50" s="19" t="s">
        <v>118</v>
      </c>
      <c r="H50" s="8" t="s">
        <v>194</v>
      </c>
      <c r="I50" s="14">
        <f>0.0047*0.5*80*1000/(2.4+((0.0029*1200)+(0.0033*2400)+(0.0037*2500)))</f>
        <v>8.1561822125813457</v>
      </c>
      <c r="J50" s="36"/>
      <c r="K50" s="37">
        <v>4.4219999999999997</v>
      </c>
      <c r="L50" s="38">
        <v>4.1859999999999999</v>
      </c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</row>
    <row r="51" spans="1:62" s="7" customFormat="1" x14ac:dyDescent="0.25">
      <c r="A51" s="33"/>
      <c r="B51" s="32" t="s">
        <v>45</v>
      </c>
      <c r="C51" s="16" t="s">
        <v>131</v>
      </c>
      <c r="D51" s="19" t="s">
        <v>121</v>
      </c>
      <c r="E51" s="8" t="s">
        <v>198</v>
      </c>
      <c r="F51" s="23">
        <f>1000*(0.000001/4.1)*80*1000/(((0.0029*12000)+(0.0033*180000)+(0.0037*330000)))</f>
        <v>1.0548272852173869E-2</v>
      </c>
      <c r="G51" s="19" t="s">
        <v>121</v>
      </c>
      <c r="H51" s="8" t="s">
        <v>198</v>
      </c>
      <c r="I51" s="10">
        <f>1000*(0.000001/4.1)*80*1000/(2.4+((0.0029*12000)+(0.0033*180000)+(0.0037*330000)))</f>
        <v>1.0534604860139954E-2</v>
      </c>
      <c r="J51" s="36"/>
      <c r="K51" s="37">
        <v>5.8729999999999997E-3</v>
      </c>
      <c r="L51" s="38">
        <v>5.8690000000000001E-3</v>
      </c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</row>
    <row r="52" spans="1:62" s="7" customFormat="1" x14ac:dyDescent="0.25">
      <c r="A52" s="33"/>
      <c r="B52" s="32" t="s">
        <v>12</v>
      </c>
      <c r="C52" s="16" t="s">
        <v>131</v>
      </c>
      <c r="D52" s="19" t="s">
        <v>66</v>
      </c>
      <c r="E52" s="8" t="s">
        <v>153</v>
      </c>
      <c r="F52" s="22">
        <f>1000*(0.000001/1.02)*80*1000/(((0.0029*18000)+(0.0033*46000)+(0.0037*90000)))</f>
        <v>0.14605469748420785</v>
      </c>
      <c r="G52" s="19" t="s">
        <v>66</v>
      </c>
      <c r="H52" s="8" t="s">
        <v>160</v>
      </c>
      <c r="I52" s="11">
        <f>1000*(0.000001/1.02)*80*1000/(2.4+((0.0029*18000)+(0.0033*46000)+(0.0037*90000)))</f>
        <v>0.14540484343533486</v>
      </c>
      <c r="J52" s="36"/>
      <c r="K52" s="37">
        <v>7.911E-2</v>
      </c>
      <c r="L52" s="38">
        <v>7.8920000000000004E-2</v>
      </c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</row>
    <row r="53" spans="1:62" s="7" customFormat="1" x14ac:dyDescent="0.25">
      <c r="A53" s="33"/>
      <c r="B53" s="32" t="s">
        <v>34</v>
      </c>
      <c r="C53" s="16" t="s">
        <v>130</v>
      </c>
      <c r="D53" s="19" t="s">
        <v>97</v>
      </c>
      <c r="E53" s="8" t="s">
        <v>149</v>
      </c>
      <c r="F53" s="23">
        <f>(0.000001/0.73)*80*1000/((0.0099*3900))</f>
        <v>2.8383590027425639E-3</v>
      </c>
      <c r="G53" s="19" t="s">
        <v>98</v>
      </c>
      <c r="H53" s="8" t="s">
        <v>185</v>
      </c>
      <c r="I53" s="12">
        <f>(0.000001/0.73)*80*1000/(2.4+(0.0099*3900))</f>
        <v>2.6722516726625308E-3</v>
      </c>
      <c r="J53" s="36"/>
      <c r="K53" s="37">
        <v>1.2769999999999999E-3</v>
      </c>
      <c r="L53" s="38">
        <v>1.243E-3</v>
      </c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</row>
    <row r="54" spans="1:62" s="7" customFormat="1" x14ac:dyDescent="0.25">
      <c r="A54" s="33"/>
      <c r="B54" s="32" t="s">
        <v>6</v>
      </c>
      <c r="C54" s="16" t="s">
        <v>130</v>
      </c>
      <c r="D54" s="19">
        <v>0.02</v>
      </c>
      <c r="E54" s="8" t="s">
        <v>106</v>
      </c>
      <c r="F54" s="22">
        <f>0.00002*0.8*80*1000/(((0.0029*1400)+(0.0033*4800)+(0.0037*4400)))</f>
        <v>3.5378662244333892E-2</v>
      </c>
      <c r="G54" s="19">
        <v>0.02</v>
      </c>
      <c r="H54" s="8" t="s">
        <v>106</v>
      </c>
      <c r="I54" s="12">
        <f>0.00002*0.8*80*1000/((2.4+(0.0029*1400)+(0.0033*4800)+(0.0037*4400)))</f>
        <v>3.317781233799897E-2</v>
      </c>
      <c r="J54" s="36"/>
      <c r="K54" s="37">
        <v>1.72E-2</v>
      </c>
      <c r="L54" s="38">
        <v>1.67E-2</v>
      </c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</row>
    <row r="55" spans="1:62" s="7" customFormat="1" x14ac:dyDescent="0.25">
      <c r="A55" s="33"/>
      <c r="B55" s="32" t="s">
        <v>17</v>
      </c>
      <c r="C55" s="16" t="s">
        <v>130</v>
      </c>
      <c r="D55" s="19" t="s">
        <v>81</v>
      </c>
      <c r="E55" s="8" t="s">
        <v>168</v>
      </c>
      <c r="F55" s="24">
        <f>0.02*0.2*80*1000/(((0.0029*1.2)+(0.0033*1.3)+(0.0037*1.4)))</f>
        <v>24710.424710424712</v>
      </c>
      <c r="G55" s="19" t="s">
        <v>58</v>
      </c>
      <c r="H55" s="8" t="s">
        <v>169</v>
      </c>
      <c r="I55" s="13">
        <f>0.02*0.2*80*1000/(2.4+((0.0029*1.2)+(0.0033*1.3)+(0.0037*1.4)))</f>
        <v>132.61775005698419</v>
      </c>
      <c r="J55" s="36"/>
      <c r="K55" s="30">
        <v>11662</v>
      </c>
      <c r="L55" s="38">
        <v>132</v>
      </c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</row>
    <row r="56" spans="1:62" s="7" customFormat="1" x14ac:dyDescent="0.25">
      <c r="A56" s="33"/>
      <c r="B56" s="32" t="s">
        <v>18</v>
      </c>
      <c r="C56" s="16" t="s">
        <v>130</v>
      </c>
      <c r="D56" s="19" t="s">
        <v>82</v>
      </c>
      <c r="E56" s="8" t="s">
        <v>170</v>
      </c>
      <c r="F56" s="24">
        <f>(0.000001/0.002)*80*1000/(((0.0029*1.4)+(0.0033*1.5)+(0.0037*1.6)))</f>
        <v>2679.1694574681851</v>
      </c>
      <c r="G56" s="19" t="s">
        <v>79</v>
      </c>
      <c r="H56" s="8" t="s">
        <v>171</v>
      </c>
      <c r="I56" s="13">
        <f>(0.000001/0.002)*80*1000/(2.4+((0.0029*1.4)+(0.0033*1.5)+(0.0037*1.6)))</f>
        <v>16.563627103063027</v>
      </c>
      <c r="J56" s="36"/>
      <c r="K56" s="37">
        <v>1262</v>
      </c>
      <c r="L56" s="38">
        <v>16.399999999999999</v>
      </c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</row>
    <row r="57" spans="1:62" s="7" customFormat="1" x14ac:dyDescent="0.25">
      <c r="A57" s="33"/>
      <c r="B57" s="32" t="s">
        <v>53</v>
      </c>
      <c r="C57" s="16" t="s">
        <v>130</v>
      </c>
      <c r="D57" s="19" t="s">
        <v>125</v>
      </c>
      <c r="E57" s="8" t="s">
        <v>208</v>
      </c>
      <c r="F57" s="22">
        <f>(0.000001/0.4)*80*1000/(((0.0029*44)+(0.0033*290)+(0.0037*520)))</f>
        <v>6.6476101841388011E-2</v>
      </c>
      <c r="G57" s="19" t="s">
        <v>106</v>
      </c>
      <c r="H57" s="8" t="s">
        <v>209</v>
      </c>
      <c r="I57" s="11">
        <f>(0.000001/0.4)*80*1000/(2.4+((0.0029*44)+(0.0033*290)+(0.0037*520)))</f>
        <v>3.6978145915763781E-2</v>
      </c>
      <c r="J57" s="36"/>
      <c r="K57" s="37">
        <v>3.6499999999999998E-2</v>
      </c>
      <c r="L57" s="38">
        <v>2.5399999999999999E-2</v>
      </c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</row>
    <row r="58" spans="1:62" s="7" customFormat="1" x14ac:dyDescent="0.25">
      <c r="A58" s="33"/>
      <c r="B58" s="32" t="s">
        <v>48</v>
      </c>
      <c r="C58" s="16" t="s">
        <v>130</v>
      </c>
      <c r="D58" s="19" t="s">
        <v>122</v>
      </c>
      <c r="E58" s="8" t="s">
        <v>202</v>
      </c>
      <c r="F58" s="24">
        <f>0.6*0.2*80*1000/(((0.0029*1.5)+(0.0033*1.7)+(0.0037*1.9)))</f>
        <v>565038.25779870513</v>
      </c>
      <c r="G58" s="19" t="s">
        <v>123</v>
      </c>
      <c r="H58" s="8" t="s">
        <v>203</v>
      </c>
      <c r="I58" s="13">
        <f>0.6*0.2*80*1000/(2.4+((0.0029*1.5)+(0.0033*1.7)+(0.0037*1.9)))</f>
        <v>3971.8823826329449</v>
      </c>
      <c r="J58" s="36"/>
      <c r="K58" s="37">
        <v>268832</v>
      </c>
      <c r="L58" s="38">
        <v>3941</v>
      </c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</row>
    <row r="59" spans="1:62" s="7" customFormat="1" x14ac:dyDescent="0.25">
      <c r="A59" s="33"/>
      <c r="B59" s="32" t="s">
        <v>35</v>
      </c>
      <c r="C59" s="16" t="s">
        <v>130</v>
      </c>
      <c r="D59" s="19" t="s">
        <v>108</v>
      </c>
      <c r="E59" s="8" t="s">
        <v>123</v>
      </c>
      <c r="F59" s="24">
        <f>0.03*0.2*80*1000/(((0.0099*860)))</f>
        <v>56.377730796335442</v>
      </c>
      <c r="G59" s="19" t="s">
        <v>79</v>
      </c>
      <c r="H59" s="8" t="s">
        <v>188</v>
      </c>
      <c r="I59" s="13">
        <f>0.03*0.2*80*1000/(2.4+((0.0099*860)))</f>
        <v>43.980208905992299</v>
      </c>
      <c r="J59" s="36"/>
      <c r="K59" s="37">
        <v>25.4</v>
      </c>
      <c r="L59" s="38">
        <v>22.5</v>
      </c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</row>
    <row r="60" spans="1:62" s="7" customFormat="1" x14ac:dyDescent="0.25">
      <c r="A60" s="33"/>
      <c r="B60" s="32" t="s">
        <v>24</v>
      </c>
      <c r="C60" s="16" t="s">
        <v>130</v>
      </c>
      <c r="D60" s="19" t="s">
        <v>88</v>
      </c>
      <c r="E60" s="8" t="s">
        <v>179</v>
      </c>
      <c r="F60" s="24">
        <f>(0.000001/0.0021)*80*1000/(((0.0029*49)+(0.0033*66)+(0.0037*76)))</f>
        <v>59.421678513863831</v>
      </c>
      <c r="G60" s="19" t="s">
        <v>89</v>
      </c>
      <c r="H60" s="8" t="s">
        <v>142</v>
      </c>
      <c r="I60" s="13">
        <f>(0.000001/0.0021)*80*1000/(2.4+((0.0029*49)+(0.0033*66)+(0.0037*76)))</f>
        <v>12.526795598710368</v>
      </c>
      <c r="J60" s="36"/>
      <c r="K60" s="37">
        <v>28.69</v>
      </c>
      <c r="L60" s="38">
        <v>10.220000000000001</v>
      </c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</row>
    <row r="61" spans="1:62" s="7" customFormat="1" x14ac:dyDescent="0.25">
      <c r="A61" s="33"/>
      <c r="B61" s="32" t="s">
        <v>25</v>
      </c>
      <c r="C61" s="16" t="s">
        <v>132</v>
      </c>
      <c r="D61" s="19" t="s">
        <v>93</v>
      </c>
      <c r="E61" s="8" t="s">
        <v>87</v>
      </c>
      <c r="F61" s="25">
        <f>0.001*(0.0097*0.2*80*1000/(((0.0029*11)+(0.0033*15)+(0.0037*17))))</f>
        <v>1.0755370755370757</v>
      </c>
      <c r="G61" s="19" t="s">
        <v>94</v>
      </c>
      <c r="H61" s="8" t="s">
        <v>180</v>
      </c>
      <c r="I61" s="10">
        <f>0.001*0.0097*0.2*80*1000/(2.4+((0.0029*11)+(0.0033*15)+(0.0037*17)))</f>
        <v>6.0999096018551281E-2</v>
      </c>
      <c r="J61" s="36"/>
      <c r="K61" s="37">
        <v>0.51849999999999996</v>
      </c>
      <c r="L61" s="38">
        <v>5.7495999999999998E-2</v>
      </c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</row>
    <row r="62" spans="1:62" s="7" customFormat="1" x14ac:dyDescent="0.25">
      <c r="A62" s="33"/>
      <c r="B62" s="32" t="s">
        <v>5</v>
      </c>
      <c r="C62" s="17" t="s">
        <v>131</v>
      </c>
      <c r="D62" s="19">
        <v>0.71</v>
      </c>
      <c r="E62" s="8" t="s">
        <v>151</v>
      </c>
      <c r="F62" s="25">
        <f>1000*((0.000001/1.1)*80*1000)/(((0.0029*1700)+(0.0033*6600)+(0.0037*6300)))</f>
        <v>1.4539638689978549</v>
      </c>
      <c r="G62" s="19">
        <v>0.7</v>
      </c>
      <c r="H62" s="8" t="s">
        <v>151</v>
      </c>
      <c r="I62" s="14">
        <f>1000*((0.000001/1.1)*80*1000)/(2.4+((0.0029*1700)+(0.0033*6600)+(0.0037*6300)))</f>
        <v>1.387395511775519</v>
      </c>
      <c r="J62" s="36"/>
      <c r="K62" s="37">
        <v>0.71430000000000005</v>
      </c>
      <c r="L62" s="38">
        <v>0.69789999999999996</v>
      </c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</row>
    <row r="63" spans="1:62" s="7" customFormat="1" x14ac:dyDescent="0.25">
      <c r="A63" s="33"/>
      <c r="B63" s="32" t="s">
        <v>23</v>
      </c>
      <c r="C63" s="16" t="s">
        <v>130</v>
      </c>
      <c r="D63" s="19" t="s">
        <v>69</v>
      </c>
      <c r="E63" s="8" t="s">
        <v>178</v>
      </c>
      <c r="F63" s="24">
        <f>(0.000001/0.05)*80*1000/(((0.0029*8.7)+(0.0033*12)+(0.0037*13)))</f>
        <v>14.168068715133266</v>
      </c>
      <c r="G63" s="19" t="s">
        <v>73</v>
      </c>
      <c r="H63" s="8" t="s">
        <v>156</v>
      </c>
      <c r="I63" s="14">
        <f>(0.000001/0.05)*80*1000/(2.4+((0.0029*8.7)+(0.0033*12)+(0.0037*13)))</f>
        <v>0.63670695164608637</v>
      </c>
      <c r="J63" s="36"/>
      <c r="K63" s="37">
        <v>6.79</v>
      </c>
      <c r="L63" s="38">
        <v>0.60699999999999998</v>
      </c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</row>
    <row r="64" spans="1:62" s="7" customFormat="1" ht="15.75" thickBot="1" x14ac:dyDescent="0.3">
      <c r="A64" s="33"/>
      <c r="B64" s="32" t="s">
        <v>136</v>
      </c>
      <c r="C64" s="16" t="s">
        <v>130</v>
      </c>
      <c r="D64" s="27" t="s">
        <v>112</v>
      </c>
      <c r="E64" s="28" t="s">
        <v>189</v>
      </c>
      <c r="F64" s="29">
        <f>(0.000001/1.5)*80*1000/(((0.0029*1.4)+(0.0033*1.6)+(0.0037*1.7)))</f>
        <v>3.4122414160801879</v>
      </c>
      <c r="G64" s="27" t="s">
        <v>115</v>
      </c>
      <c r="H64" s="28" t="s">
        <v>190</v>
      </c>
      <c r="I64" s="61">
        <f>(0.000001/1.5)*80*1000/(2.4+((0.0029*1.4)+(0.0033*1.6)+(0.0037*1.7)))</f>
        <v>2.2078436405133791E-2</v>
      </c>
      <c r="J64" s="36"/>
      <c r="K64" s="37">
        <v>1.613</v>
      </c>
      <c r="L64" s="38">
        <v>2.1919999999999999E-2</v>
      </c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</row>
    <row r="65" spans="1:62" x14ac:dyDescent="0.25">
      <c r="B65" s="6"/>
      <c r="J65" s="39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</row>
    <row r="66" spans="1:62" x14ac:dyDescent="0.25">
      <c r="B66" s="40" t="s">
        <v>224</v>
      </c>
      <c r="E66" s="5"/>
      <c r="J66" s="39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</row>
    <row r="67" spans="1:62" x14ac:dyDescent="0.25">
      <c r="B67" s="41" t="s">
        <v>216</v>
      </c>
      <c r="C67" s="42" t="s">
        <v>215</v>
      </c>
      <c r="D67" s="42"/>
      <c r="E67" s="42"/>
      <c r="F67" s="42"/>
      <c r="J67" s="39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</row>
    <row r="68" spans="1:62" x14ac:dyDescent="0.25">
      <c r="B68" s="41" t="s">
        <v>217</v>
      </c>
      <c r="C68" s="42" t="s">
        <v>212</v>
      </c>
      <c r="D68" s="42"/>
      <c r="E68" s="42"/>
      <c r="F68" s="42"/>
      <c r="J68" s="39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</row>
    <row r="69" spans="1:62" x14ac:dyDescent="0.25">
      <c r="B69" s="41" t="s">
        <v>218</v>
      </c>
      <c r="C69" s="42" t="s">
        <v>213</v>
      </c>
      <c r="D69" s="42"/>
      <c r="E69" s="42"/>
      <c r="F69" s="42"/>
    </row>
    <row r="71" spans="1:62" ht="47.25" customHeight="1" x14ac:dyDescent="0.25">
      <c r="A71" s="31" t="s">
        <v>219</v>
      </c>
      <c r="B71" s="62" t="s">
        <v>220</v>
      </c>
      <c r="C71" s="62"/>
      <c r="D71" s="62"/>
      <c r="E71" s="62"/>
      <c r="F71" s="62"/>
      <c r="G71" s="62"/>
      <c r="H71" s="62"/>
      <c r="I71" s="62"/>
    </row>
    <row r="72" spans="1:62" x14ac:dyDescent="0.25">
      <c r="A72" s="31"/>
      <c r="B72" s="64" t="s">
        <v>223</v>
      </c>
      <c r="C72" s="64"/>
      <c r="D72" s="64"/>
      <c r="E72" s="64"/>
      <c r="F72" s="64"/>
      <c r="G72" s="64"/>
      <c r="H72" s="64"/>
      <c r="I72" s="64"/>
    </row>
    <row r="73" spans="1:62" x14ac:dyDescent="0.25">
      <c r="A73" s="31"/>
    </row>
    <row r="74" spans="1:62" ht="55.5" customHeight="1" x14ac:dyDescent="0.25">
      <c r="A74" s="31" t="s">
        <v>214</v>
      </c>
      <c r="B74" s="62" t="s">
        <v>221</v>
      </c>
      <c r="C74" s="63"/>
      <c r="D74" s="63"/>
      <c r="E74" s="63"/>
      <c r="F74" s="63"/>
      <c r="G74" s="63"/>
      <c r="H74" s="63"/>
      <c r="I74" s="63"/>
    </row>
    <row r="75" spans="1:62" x14ac:dyDescent="0.25">
      <c r="A75" s="31"/>
      <c r="B75" s="64" t="s">
        <v>222</v>
      </c>
      <c r="C75" s="64"/>
      <c r="D75" s="64"/>
      <c r="E75" s="64"/>
      <c r="F75" s="64"/>
      <c r="G75" s="64"/>
      <c r="H75" s="64"/>
      <c r="I75" s="64"/>
    </row>
  </sheetData>
  <sortState ref="A5:BJ64">
    <sortCondition ref="B5:B64"/>
  </sortState>
  <mergeCells count="4">
    <mergeCell ref="B71:I71"/>
    <mergeCell ref="B74:I74"/>
    <mergeCell ref="B72:I72"/>
    <mergeCell ref="B75:I75"/>
  </mergeCells>
  <pageMargins left="0.7" right="0.7" top="0.75" bottom="0.75" header="0.3" footer="0.3"/>
  <pageSetup scale="91" orientation="landscape" r:id="rId1"/>
  <rowBreaks count="2" manualBreakCount="2">
    <brk id="29" max="8" man="1"/>
    <brk id="58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WVOT</dc:creator>
  <cp:lastModifiedBy>Smith, Chris B</cp:lastModifiedBy>
  <cp:lastPrinted>2018-07-25T15:09:42Z</cp:lastPrinted>
  <dcterms:created xsi:type="dcterms:W3CDTF">2018-04-10T19:41:36Z</dcterms:created>
  <dcterms:modified xsi:type="dcterms:W3CDTF">2019-03-29T11:39:56Z</dcterms:modified>
</cp:coreProperties>
</file>